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BOOR H&amp;F\PO-raad - routekaart klimaatakkoord\"/>
    </mc:Choice>
  </mc:AlternateContent>
  <xr:revisionPtr revIDLastSave="0" documentId="13_ncr:1_{F2CA917E-BAC3-420B-BA4A-DE6B8FE4F49A}" xr6:coauthVersionLast="41" xr6:coauthVersionMax="41" xr10:uidLastSave="{00000000-0000-0000-0000-000000000000}"/>
  <bookViews>
    <workbookView xWindow="-120" yWindow="-120" windowWidth="29040" windowHeight="15840" tabRatio="360" xr2:uid="{00000000-000D-0000-FFFF-FFFF00000000}"/>
  </bookViews>
  <sheets>
    <sheet name="2017-2018 &amp; 2030" sheetId="1" r:id="rId1"/>
  </sheets>
  <definedNames>
    <definedName name="_xlnm._FilterDatabase" localSheetId="0" hidden="1">'2017-2018 &amp; 2030'!$A$6:$CJ$110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95" i="1" l="1"/>
  <c r="BD93" i="1" l="1"/>
  <c r="AQ93" i="1" l="1"/>
  <c r="AU93" i="1" s="1"/>
  <c r="P91" i="1" l="1"/>
  <c r="AQ8" i="1"/>
  <c r="AX8" i="1" s="1"/>
  <c r="BA8" i="1" s="1"/>
  <c r="BB8" i="1" s="1"/>
  <c r="AQ9" i="1"/>
  <c r="AX9" i="1" s="1"/>
  <c r="BA9" i="1" s="1"/>
  <c r="BB9" i="1" s="1"/>
  <c r="AQ10" i="1"/>
  <c r="AU10" i="1" s="1"/>
  <c r="AQ12" i="1"/>
  <c r="AQ14" i="1"/>
  <c r="AX14" i="1" s="1"/>
  <c r="BA14" i="1" s="1"/>
  <c r="BB14" i="1" s="1"/>
  <c r="AQ15" i="1"/>
  <c r="AX15" i="1" s="1"/>
  <c r="BA15" i="1" s="1"/>
  <c r="BB15" i="1" s="1"/>
  <c r="AQ16" i="1"/>
  <c r="AU16" i="1" s="1"/>
  <c r="AQ17" i="1"/>
  <c r="AX17" i="1" s="1"/>
  <c r="BA17" i="1" s="1"/>
  <c r="BB17" i="1" s="1"/>
  <c r="AQ18" i="1"/>
  <c r="AQ19" i="1"/>
  <c r="AU19" i="1" s="1"/>
  <c r="AQ20" i="1"/>
  <c r="AX20" i="1" s="1"/>
  <c r="BA20" i="1" s="1"/>
  <c r="BB20" i="1" s="1"/>
  <c r="AQ22" i="1"/>
  <c r="AX22" i="1" s="1"/>
  <c r="BA22" i="1" s="1"/>
  <c r="BB22" i="1" s="1"/>
  <c r="AQ23" i="1"/>
  <c r="AX23" i="1" s="1"/>
  <c r="BA23" i="1" s="1"/>
  <c r="BB23" i="1" s="1"/>
  <c r="AQ24" i="1"/>
  <c r="AQ25" i="1"/>
  <c r="AU25" i="1" s="1"/>
  <c r="AQ26" i="1"/>
  <c r="AQ27" i="1"/>
  <c r="AQ28" i="1"/>
  <c r="AQ29" i="1"/>
  <c r="AU29" i="1" s="1"/>
  <c r="AQ31" i="1"/>
  <c r="AQ32" i="1"/>
  <c r="AQ33" i="1"/>
  <c r="AQ37" i="1"/>
  <c r="AQ38" i="1"/>
  <c r="AQ39" i="1"/>
  <c r="AU39" i="1" s="1"/>
  <c r="AQ42" i="1"/>
  <c r="AQ43" i="1"/>
  <c r="AQ45" i="1"/>
  <c r="AQ47" i="1"/>
  <c r="AQ49" i="1"/>
  <c r="AQ50" i="1"/>
  <c r="AQ51" i="1"/>
  <c r="AU51" i="1" s="1"/>
  <c r="AQ52" i="1"/>
  <c r="AQ53" i="1"/>
  <c r="AQ54" i="1"/>
  <c r="AX54" i="1" s="1"/>
  <c r="BA54" i="1" s="1"/>
  <c r="AQ55" i="1"/>
  <c r="AQ56" i="1"/>
  <c r="AQ57" i="1"/>
  <c r="AU57" i="1" s="1"/>
  <c r="AQ58" i="1"/>
  <c r="AU58" i="1" s="1"/>
  <c r="AQ59" i="1"/>
  <c r="AQ60" i="1"/>
  <c r="AQ61" i="1"/>
  <c r="AQ62" i="1"/>
  <c r="AQ63" i="1"/>
  <c r="AQ65" i="1"/>
  <c r="AQ66" i="1"/>
  <c r="AQ68" i="1"/>
  <c r="AU68" i="1" s="1"/>
  <c r="AQ69" i="1"/>
  <c r="AQ70" i="1"/>
  <c r="AQ72" i="1"/>
  <c r="AQ74" i="1"/>
  <c r="AQ75" i="1"/>
  <c r="AQ77" i="1"/>
  <c r="AU77" i="1" s="1"/>
  <c r="AQ78" i="1"/>
  <c r="AQ79" i="1"/>
  <c r="AQ80" i="1"/>
  <c r="AQ81" i="1"/>
  <c r="AQ82" i="1"/>
  <c r="AQ83" i="1"/>
  <c r="AQ85" i="1"/>
  <c r="AQ87" i="1"/>
  <c r="AQ89" i="1"/>
  <c r="AQ90" i="1"/>
  <c r="AU90" i="1" s="1"/>
  <c r="AQ91" i="1"/>
  <c r="AQ92" i="1"/>
  <c r="AQ94" i="1"/>
  <c r="BA95" i="1"/>
  <c r="BB95" i="1" s="1"/>
  <c r="AQ96" i="1"/>
  <c r="AQ98" i="1"/>
  <c r="AQ99" i="1"/>
  <c r="AQ101" i="1"/>
  <c r="AQ105" i="1"/>
  <c r="AQ106" i="1"/>
  <c r="AQ108" i="1"/>
  <c r="AD105" i="1"/>
  <c r="AU105" i="1" s="1"/>
  <c r="AJ105" i="1"/>
  <c r="AK105" i="1" s="1"/>
  <c r="BB105" i="1" s="1"/>
  <c r="AI105" i="1"/>
  <c r="AZ105" i="1" s="1"/>
  <c r="AY105" i="1"/>
  <c r="AX105" i="1"/>
  <c r="AT105" i="1"/>
  <c r="AS105" i="1"/>
  <c r="AJ2" i="1"/>
  <c r="AD100" i="1"/>
  <c r="AD24" i="1"/>
  <c r="AE24" i="1" s="1"/>
  <c r="AD20" i="1"/>
  <c r="AU20" i="1" s="1"/>
  <c r="AD78" i="1"/>
  <c r="AE78" i="1" s="1"/>
  <c r="AB11" i="1"/>
  <c r="AD11" i="1" s="1"/>
  <c r="AE11" i="1" s="1"/>
  <c r="AC11" i="1"/>
  <c r="AD17" i="1"/>
  <c r="AU17" i="1" s="1"/>
  <c r="AD7" i="1"/>
  <c r="AE7" i="1" s="1"/>
  <c r="AD37" i="1"/>
  <c r="AU37" i="1" s="1"/>
  <c r="AD83" i="1"/>
  <c r="AE83" i="1" s="1"/>
  <c r="AD80" i="1"/>
  <c r="AE80" i="1" s="1"/>
  <c r="AD18" i="1"/>
  <c r="AU18" i="1" s="1"/>
  <c r="AD92" i="1"/>
  <c r="AD75" i="1"/>
  <c r="AE75" i="1" s="1"/>
  <c r="AD32" i="1"/>
  <c r="AU32" i="1" s="1"/>
  <c r="AS47" i="1"/>
  <c r="AD77" i="1"/>
  <c r="AE77" i="1" s="1"/>
  <c r="AD9" i="1"/>
  <c r="AU9" i="1" s="1"/>
  <c r="AD19" i="1"/>
  <c r="AE19" i="1" s="1"/>
  <c r="AD91" i="1"/>
  <c r="AE91" i="1" s="1"/>
  <c r="AD72" i="1"/>
  <c r="AU72" i="1" s="1"/>
  <c r="AD55" i="1"/>
  <c r="AE55" i="1" s="1"/>
  <c r="AD96" i="1"/>
  <c r="AE96" i="1" s="1"/>
  <c r="AD43" i="1"/>
  <c r="AE43" i="1" s="1"/>
  <c r="AD22" i="1"/>
  <c r="AE22" i="1" s="1"/>
  <c r="AD36" i="1"/>
  <c r="AE36" i="1" s="1"/>
  <c r="AB16" i="1"/>
  <c r="AC16" i="1"/>
  <c r="AD16" i="1" s="1"/>
  <c r="AE16" i="1" s="1"/>
  <c r="AD107" i="1"/>
  <c r="AE107" i="1" s="1"/>
  <c r="AD59" i="1"/>
  <c r="AD81" i="1"/>
  <c r="AD39" i="1"/>
  <c r="AE39" i="1" s="1"/>
  <c r="AD33" i="1"/>
  <c r="AE33" i="1" s="1"/>
  <c r="AD74" i="1"/>
  <c r="AU74" i="1" s="1"/>
  <c r="AD63" i="1"/>
  <c r="AE63" i="1" s="1"/>
  <c r="AB21" i="1"/>
  <c r="AC21" i="1"/>
  <c r="AD49" i="1"/>
  <c r="AE49" i="1" s="1"/>
  <c r="AD94" i="1"/>
  <c r="AU94" i="1" s="1"/>
  <c r="AD8" i="1"/>
  <c r="AU8" i="1" s="1"/>
  <c r="AD26" i="1"/>
  <c r="AU26" i="1" s="1"/>
  <c r="AV26" i="1" s="1"/>
  <c r="AD86" i="1"/>
  <c r="AE86" i="1" s="1"/>
  <c r="AC95" i="1"/>
  <c r="AD95" i="1" s="1"/>
  <c r="AU95" i="1" s="1"/>
  <c r="AD48" i="1"/>
  <c r="AE48" i="1" s="1"/>
  <c r="AD56" i="1"/>
  <c r="AU56" i="1" s="1"/>
  <c r="AD53" i="1"/>
  <c r="AE53" i="1" s="1"/>
  <c r="AD14" i="1"/>
  <c r="AE14" i="1" s="1"/>
  <c r="AD42" i="1"/>
  <c r="AD70" i="1"/>
  <c r="AU70" i="1" s="1"/>
  <c r="AD54" i="1"/>
  <c r="AU54" i="1" s="1"/>
  <c r="AB85" i="1"/>
  <c r="AC85" i="1"/>
  <c r="AT85" i="1" s="1"/>
  <c r="AD69" i="1"/>
  <c r="AU69" i="1" s="1"/>
  <c r="AV69" i="1" s="1"/>
  <c r="AD60" i="1"/>
  <c r="AU60" i="1" s="1"/>
  <c r="AD30" i="1"/>
  <c r="AD61" i="1"/>
  <c r="AU61" i="1" s="1"/>
  <c r="AD10" i="1"/>
  <c r="AE10" i="1" s="1"/>
  <c r="AB25" i="1"/>
  <c r="AC25" i="1"/>
  <c r="AD65" i="1"/>
  <c r="AE65" i="1" s="1"/>
  <c r="AD66" i="1"/>
  <c r="AE66" i="1" s="1"/>
  <c r="AD23" i="1"/>
  <c r="AD50" i="1"/>
  <c r="AU50" i="1" s="1"/>
  <c r="AD44" i="1"/>
  <c r="AE44" i="1" s="1"/>
  <c r="AB103" i="1"/>
  <c r="AC103" i="1"/>
  <c r="AD88" i="1"/>
  <c r="AE88" i="1" s="1"/>
  <c r="AD73" i="1"/>
  <c r="AE73" i="1" s="1"/>
  <c r="AM73" i="1" s="1"/>
  <c r="AD101" i="1"/>
  <c r="AD84" i="1"/>
  <c r="AE84" i="1" s="1"/>
  <c r="AD29" i="1"/>
  <c r="AE29" i="1" s="1"/>
  <c r="AD108" i="1"/>
  <c r="AU108" i="1" s="1"/>
  <c r="AD79" i="1"/>
  <c r="AD62" i="1"/>
  <c r="AU62" i="1" s="1"/>
  <c r="AB28" i="1"/>
  <c r="AC28" i="1"/>
  <c r="AT28" i="1" s="1"/>
  <c r="AD58" i="1"/>
  <c r="AE58" i="1" s="1"/>
  <c r="AD31" i="1"/>
  <c r="AE31" i="1" s="1"/>
  <c r="AD15" i="1"/>
  <c r="AU15" i="1" s="1"/>
  <c r="AD87" i="1"/>
  <c r="AE87" i="1" s="1"/>
  <c r="AD93" i="1"/>
  <c r="AE93" i="1" s="1"/>
  <c r="AD89" i="1"/>
  <c r="AE89" i="1" s="1"/>
  <c r="AD102" i="1"/>
  <c r="AE102" i="1" s="1"/>
  <c r="AD57" i="1"/>
  <c r="AE57" i="1" s="1"/>
  <c r="AD82" i="1"/>
  <c r="AU82" i="1" s="1"/>
  <c r="AD45" i="1"/>
  <c r="AU45" i="1" s="1"/>
  <c r="AD12" i="1"/>
  <c r="AE12" i="1" s="1"/>
  <c r="AD40" i="1"/>
  <c r="AE40" i="1" s="1"/>
  <c r="AD35" i="1"/>
  <c r="AE35" i="1" s="1"/>
  <c r="AD98" i="1"/>
  <c r="AU98" i="1" s="1"/>
  <c r="AD99" i="1"/>
  <c r="AU99" i="1" s="1"/>
  <c r="AD41" i="1"/>
  <c r="AE41" i="1" s="1"/>
  <c r="AD27" i="1"/>
  <c r="AU27" i="1" s="1"/>
  <c r="AD34" i="1"/>
  <c r="AE34" i="1" s="1"/>
  <c r="AD67" i="1"/>
  <c r="AE67" i="1" s="1"/>
  <c r="AD68" i="1"/>
  <c r="AE68" i="1" s="1"/>
  <c r="AD106" i="1"/>
  <c r="AU106" i="1" s="1"/>
  <c r="AD64" i="1"/>
  <c r="AE64" i="1" s="1"/>
  <c r="AD52" i="1"/>
  <c r="AU52" i="1" s="1"/>
  <c r="AJ100" i="1"/>
  <c r="AJ24" i="1"/>
  <c r="AJ20" i="1"/>
  <c r="AJ78" i="1"/>
  <c r="AK78" i="1" s="1"/>
  <c r="AJ11" i="1"/>
  <c r="AK11" i="1" s="1"/>
  <c r="AJ17" i="1"/>
  <c r="AK17" i="1" s="1"/>
  <c r="AJ7" i="1"/>
  <c r="AK7" i="1" s="1"/>
  <c r="AJ37" i="1"/>
  <c r="AK37" i="1" s="1"/>
  <c r="AJ83" i="1"/>
  <c r="AJ80" i="1"/>
  <c r="AK80" i="1" s="1"/>
  <c r="AG18" i="1"/>
  <c r="AJ18" i="1" s="1"/>
  <c r="BA18" i="1" s="1"/>
  <c r="AJ92" i="1"/>
  <c r="AJ75" i="1"/>
  <c r="AK75" i="1" s="1"/>
  <c r="AJ32" i="1"/>
  <c r="AK32" i="1" s="1"/>
  <c r="AJ47" i="1"/>
  <c r="AK47" i="1" s="1"/>
  <c r="AJ77" i="1"/>
  <c r="AK77" i="1" s="1"/>
  <c r="AJ9" i="1"/>
  <c r="AJ19" i="1"/>
  <c r="AK19" i="1" s="1"/>
  <c r="AJ38" i="1"/>
  <c r="AG91" i="1"/>
  <c r="AJ91" i="1" s="1"/>
  <c r="AJ72" i="1"/>
  <c r="AK72" i="1" s="1"/>
  <c r="AJ55" i="1"/>
  <c r="AJ96" i="1"/>
  <c r="AJ43" i="1"/>
  <c r="AJ22" i="1"/>
  <c r="AK22" i="1" s="1"/>
  <c r="AJ36" i="1"/>
  <c r="AK36" i="1" s="1"/>
  <c r="AG16" i="1"/>
  <c r="AJ16" i="1" s="1"/>
  <c r="AK16" i="1" s="1"/>
  <c r="AJ107" i="1"/>
  <c r="AK107" i="1" s="1"/>
  <c r="AG59" i="1"/>
  <c r="AJ59" i="1" s="1"/>
  <c r="AJ81" i="1"/>
  <c r="AJ39" i="1"/>
  <c r="AK39" i="1" s="1"/>
  <c r="AJ33" i="1"/>
  <c r="AJ74" i="1"/>
  <c r="AK74" i="1" s="1"/>
  <c r="AJ63" i="1"/>
  <c r="AG21" i="1"/>
  <c r="AJ21" i="1" s="1"/>
  <c r="AK21" i="1" s="1"/>
  <c r="AJ49" i="1"/>
  <c r="AK49" i="1" s="1"/>
  <c r="AJ94" i="1"/>
  <c r="AJ8" i="1"/>
  <c r="AJ26" i="1"/>
  <c r="AG86" i="1"/>
  <c r="AJ86" i="1" s="1"/>
  <c r="AK86" i="1" s="1"/>
  <c r="AJ95" i="1"/>
  <c r="AK95" i="1" s="1"/>
  <c r="AJ48" i="1"/>
  <c r="AK48" i="1" s="1"/>
  <c r="AJ56" i="1"/>
  <c r="AK56" i="1" s="1"/>
  <c r="AJ53" i="1"/>
  <c r="AJ14" i="1"/>
  <c r="AG42" i="1"/>
  <c r="AJ42" i="1" s="1"/>
  <c r="AJ70" i="1"/>
  <c r="AJ54" i="1"/>
  <c r="AK54" i="1" s="1"/>
  <c r="AJ85" i="1"/>
  <c r="AK85" i="1" s="1"/>
  <c r="AJ69" i="1"/>
  <c r="AJ60" i="1"/>
  <c r="BA60" i="1" s="1"/>
  <c r="AG30" i="1"/>
  <c r="AJ30" i="1" s="1"/>
  <c r="AK30" i="1" s="1"/>
  <c r="AJ61" i="1"/>
  <c r="AJ10" i="1"/>
  <c r="AK10" i="1" s="1"/>
  <c r="AG25" i="1"/>
  <c r="AJ25" i="1" s="1"/>
  <c r="AK25" i="1" s="1"/>
  <c r="AJ65" i="1"/>
  <c r="BA65" i="1" s="1"/>
  <c r="AJ66" i="1"/>
  <c r="BA66" i="1" s="1"/>
  <c r="AJ23" i="1"/>
  <c r="AJ50" i="1"/>
  <c r="AK50" i="1" s="1"/>
  <c r="AJ44" i="1"/>
  <c r="AK44" i="1" s="1"/>
  <c r="AJ103" i="1"/>
  <c r="AK103" i="1" s="1"/>
  <c r="AJ88" i="1"/>
  <c r="AK88" i="1" s="1"/>
  <c r="AJ101" i="1"/>
  <c r="AK101" i="1" s="1"/>
  <c r="AJ84" i="1"/>
  <c r="AK84" i="1" s="1"/>
  <c r="AJ29" i="1"/>
  <c r="AK29" i="1" s="1"/>
  <c r="AJ108" i="1"/>
  <c r="AJ79" i="1"/>
  <c r="AK79" i="1" s="1"/>
  <c r="BB79" i="1" s="1"/>
  <c r="AJ62" i="1"/>
  <c r="AI104" i="1"/>
  <c r="AJ28" i="1"/>
  <c r="AG58" i="1"/>
  <c r="AJ58" i="1" s="1"/>
  <c r="AK58" i="1" s="1"/>
  <c r="AG31" i="1"/>
  <c r="AJ31" i="1" s="1"/>
  <c r="AK31" i="1" s="1"/>
  <c r="AJ15" i="1"/>
  <c r="AJ87" i="1"/>
  <c r="AK87" i="1" s="1"/>
  <c r="BB87" i="1" s="1"/>
  <c r="AJ93" i="1"/>
  <c r="AK93" i="1" s="1"/>
  <c r="AJ89" i="1"/>
  <c r="AG102" i="1"/>
  <c r="AJ102" i="1" s="1"/>
  <c r="AK102" i="1" s="1"/>
  <c r="AG57" i="1"/>
  <c r="AJ57" i="1" s="1"/>
  <c r="AK57" i="1" s="1"/>
  <c r="AJ82" i="1"/>
  <c r="AK82" i="1" s="1"/>
  <c r="AJ45" i="1"/>
  <c r="AK45" i="1" s="1"/>
  <c r="AG12" i="1"/>
  <c r="AJ12" i="1" s="1"/>
  <c r="AK12" i="1" s="1"/>
  <c r="AJ40" i="1"/>
  <c r="AJ35" i="1"/>
  <c r="AK35" i="1" s="1"/>
  <c r="AJ98" i="1"/>
  <c r="BA98" i="1" s="1"/>
  <c r="AJ99" i="1"/>
  <c r="AK99" i="1" s="1"/>
  <c r="BB99" i="1" s="1"/>
  <c r="AJ41" i="1"/>
  <c r="AK41" i="1" s="1"/>
  <c r="AJ27" i="1"/>
  <c r="AK27" i="1" s="1"/>
  <c r="AJ34" i="1"/>
  <c r="AK34" i="1" s="1"/>
  <c r="AJ67" i="1"/>
  <c r="AK67" i="1" s="1"/>
  <c r="AG68" i="1"/>
  <c r="AJ68" i="1" s="1"/>
  <c r="AK68" i="1" s="1"/>
  <c r="AJ106" i="1"/>
  <c r="AK106" i="1" s="1"/>
  <c r="BB106" i="1" s="1"/>
  <c r="AG64" i="1"/>
  <c r="AJ64" i="1" s="1"/>
  <c r="AK64" i="1" s="1"/>
  <c r="AG52" i="1"/>
  <c r="AJ52" i="1" s="1"/>
  <c r="Z2" i="1"/>
  <c r="E28" i="1"/>
  <c r="M7" i="1"/>
  <c r="N7" i="1" s="1"/>
  <c r="M8" i="1"/>
  <c r="N8" i="1" s="1"/>
  <c r="M9" i="1"/>
  <c r="N9" i="1" s="1"/>
  <c r="M10" i="1"/>
  <c r="N10" i="1" s="1"/>
  <c r="M12" i="1"/>
  <c r="N12" i="1" s="1"/>
  <c r="M14" i="1"/>
  <c r="N14" i="1" s="1"/>
  <c r="M15" i="1"/>
  <c r="N15" i="1" s="1"/>
  <c r="K16" i="1"/>
  <c r="L16" i="1"/>
  <c r="M17" i="1"/>
  <c r="N17" i="1" s="1"/>
  <c r="M18" i="1"/>
  <c r="N18" i="1" s="1"/>
  <c r="M19" i="1"/>
  <c r="N19" i="1" s="1"/>
  <c r="M20" i="1"/>
  <c r="N20" i="1" s="1"/>
  <c r="M22" i="1"/>
  <c r="N22" i="1" s="1"/>
  <c r="M23" i="1"/>
  <c r="N23" i="1" s="1"/>
  <c r="M24" i="1"/>
  <c r="N24" i="1" s="1"/>
  <c r="K25" i="1"/>
  <c r="L25" i="1"/>
  <c r="M26" i="1"/>
  <c r="N26" i="1" s="1"/>
  <c r="M27" i="1"/>
  <c r="N27" i="1" s="1"/>
  <c r="K28" i="1"/>
  <c r="L28" i="1"/>
  <c r="M29" i="1"/>
  <c r="N29" i="1" s="1"/>
  <c r="M30" i="1"/>
  <c r="N30" i="1" s="1"/>
  <c r="K31" i="1"/>
  <c r="L31" i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8" i="1"/>
  <c r="N48" i="1" s="1"/>
  <c r="M49" i="1"/>
  <c r="N49" i="1" s="1"/>
  <c r="M50" i="1"/>
  <c r="N50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1" i="1"/>
  <c r="N91" i="1" s="1"/>
  <c r="M92" i="1"/>
  <c r="N92" i="1" s="1"/>
  <c r="M93" i="1"/>
  <c r="N93" i="1" s="1"/>
  <c r="M94" i="1"/>
  <c r="N94" i="1" s="1"/>
  <c r="L95" i="1"/>
  <c r="M95" i="1" s="1"/>
  <c r="N95" i="1" s="1"/>
  <c r="M96" i="1"/>
  <c r="N96" i="1" s="1"/>
  <c r="M98" i="1"/>
  <c r="N98" i="1" s="1"/>
  <c r="M99" i="1"/>
  <c r="N99" i="1" s="1"/>
  <c r="M100" i="1"/>
  <c r="N100" i="1" s="1"/>
  <c r="M101" i="1"/>
  <c r="N101" i="1" s="1"/>
  <c r="M102" i="1"/>
  <c r="N102" i="1" s="1"/>
  <c r="K103" i="1"/>
  <c r="L103" i="1"/>
  <c r="M105" i="1"/>
  <c r="N105" i="1" s="1"/>
  <c r="M106" i="1"/>
  <c r="N106" i="1" s="1"/>
  <c r="M107" i="1"/>
  <c r="N107" i="1" s="1"/>
  <c r="M108" i="1"/>
  <c r="N108" i="1" s="1"/>
  <c r="S7" i="1"/>
  <c r="T7" i="1" s="1"/>
  <c r="S8" i="1"/>
  <c r="T8" i="1" s="1"/>
  <c r="S9" i="1"/>
  <c r="T9" i="1" s="1"/>
  <c r="S10" i="1"/>
  <c r="T10" i="1" s="1"/>
  <c r="S12" i="1"/>
  <c r="T12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2" i="1"/>
  <c r="T22" i="1" s="1"/>
  <c r="S23" i="1"/>
  <c r="T23" i="1" s="1"/>
  <c r="P24" i="1"/>
  <c r="S24" i="1" s="1"/>
  <c r="T24" i="1" s="1"/>
  <c r="P25" i="1"/>
  <c r="S25" i="1" s="1"/>
  <c r="T25" i="1" s="1"/>
  <c r="S26" i="1"/>
  <c r="T26" i="1" s="1"/>
  <c r="S27" i="1"/>
  <c r="T27" i="1" s="1"/>
  <c r="S28" i="1"/>
  <c r="T28" i="1" s="1"/>
  <c r="S29" i="1"/>
  <c r="T29" i="1" s="1"/>
  <c r="P30" i="1"/>
  <c r="S30" i="1" s="1"/>
  <c r="T30" i="1" s="1"/>
  <c r="P31" i="1"/>
  <c r="S31" i="1" s="1"/>
  <c r="T31" i="1" s="1"/>
  <c r="P32" i="1"/>
  <c r="S32" i="1" s="1"/>
  <c r="T32" i="1" s="1"/>
  <c r="S33" i="1"/>
  <c r="T33" i="1" s="1"/>
  <c r="P34" i="1"/>
  <c r="S34" i="1" s="1"/>
  <c r="T34" i="1" s="1"/>
  <c r="P35" i="1"/>
  <c r="S35" i="1" s="1"/>
  <c r="T35" i="1" s="1"/>
  <c r="S36" i="1"/>
  <c r="T36" i="1" s="1"/>
  <c r="S37" i="1"/>
  <c r="T37" i="1" s="1"/>
  <c r="S38" i="1"/>
  <c r="T38" i="1" s="1"/>
  <c r="V38" i="1" s="1"/>
  <c r="S39" i="1"/>
  <c r="T39" i="1" s="1"/>
  <c r="P40" i="1"/>
  <c r="S40" i="1" s="1"/>
  <c r="T40" i="1" s="1"/>
  <c r="P41" i="1"/>
  <c r="S41" i="1" s="1"/>
  <c r="T41" i="1" s="1"/>
  <c r="S42" i="1"/>
  <c r="T42" i="1" s="1"/>
  <c r="S43" i="1"/>
  <c r="T43" i="1" s="1"/>
  <c r="S44" i="1"/>
  <c r="T44" i="1" s="1"/>
  <c r="P45" i="1"/>
  <c r="S45" i="1" s="1"/>
  <c r="T45" i="1" s="1"/>
  <c r="S47" i="1"/>
  <c r="T47" i="1" s="1"/>
  <c r="S48" i="1"/>
  <c r="T48" i="1" s="1"/>
  <c r="S49" i="1"/>
  <c r="T49" i="1" s="1"/>
  <c r="S50" i="1"/>
  <c r="T50" i="1" s="1"/>
  <c r="S51" i="1"/>
  <c r="T51" i="1" s="1"/>
  <c r="S104" i="1"/>
  <c r="T104" i="1" s="1"/>
  <c r="S90" i="1"/>
  <c r="T90" i="1" s="1"/>
  <c r="P52" i="1"/>
  <c r="S52" i="1" s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P64" i="1"/>
  <c r="S64" i="1" s="1"/>
  <c r="T64" i="1" s="1"/>
  <c r="P65" i="1"/>
  <c r="S65" i="1" s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1" i="1"/>
  <c r="T91" i="1" s="1"/>
  <c r="P92" i="1"/>
  <c r="S92" i="1" s="1"/>
  <c r="T92" i="1" s="1"/>
  <c r="S93" i="1"/>
  <c r="T93" i="1" s="1"/>
  <c r="S94" i="1"/>
  <c r="T94" i="1" s="1"/>
  <c r="P95" i="1"/>
  <c r="S95" i="1" s="1"/>
  <c r="T95" i="1" s="1"/>
  <c r="S96" i="1"/>
  <c r="T96" i="1" s="1"/>
  <c r="S98" i="1"/>
  <c r="T98" i="1" s="1"/>
  <c r="S99" i="1"/>
  <c r="T99" i="1" s="1"/>
  <c r="P100" i="1"/>
  <c r="S100" i="1" s="1"/>
  <c r="T100" i="1" s="1"/>
  <c r="S101" i="1"/>
  <c r="T101" i="1" s="1"/>
  <c r="S102" i="1"/>
  <c r="T102" i="1" s="1"/>
  <c r="P103" i="1"/>
  <c r="S103" i="1" s="1"/>
  <c r="T103" i="1" s="1"/>
  <c r="S105" i="1"/>
  <c r="T105" i="1" s="1"/>
  <c r="S106" i="1"/>
  <c r="T106" i="1" s="1"/>
  <c r="S107" i="1"/>
  <c r="T107" i="1" s="1"/>
  <c r="S108" i="1"/>
  <c r="T108" i="1" s="1"/>
  <c r="I2" i="1"/>
  <c r="BD103" i="1"/>
  <c r="BD102" i="1"/>
  <c r="BD97" i="1"/>
  <c r="BD90" i="1"/>
  <c r="BD88" i="1"/>
  <c r="BD86" i="1"/>
  <c r="BD84" i="1"/>
  <c r="BD77" i="1"/>
  <c r="BD76" i="1"/>
  <c r="AU73" i="1"/>
  <c r="AV73" i="1" s="1"/>
  <c r="BD73" i="1" s="1"/>
  <c r="BD71" i="1"/>
  <c r="BD68" i="1"/>
  <c r="BD67" i="1"/>
  <c r="BD64" i="1"/>
  <c r="BD58" i="1"/>
  <c r="BD57" i="1"/>
  <c r="BD48" i="1"/>
  <c r="BD46" i="1"/>
  <c r="BD44" i="1"/>
  <c r="BD39" i="1"/>
  <c r="AE38" i="1"/>
  <c r="AV38" i="1" s="1"/>
  <c r="BD35" i="1"/>
  <c r="BD34" i="1"/>
  <c r="BD29" i="1"/>
  <c r="BD25" i="1"/>
  <c r="BD21" i="1"/>
  <c r="BD19" i="1"/>
  <c r="BD16" i="1"/>
  <c r="BD13" i="1"/>
  <c r="BD11" i="1"/>
  <c r="BD10" i="1"/>
  <c r="AU46" i="1"/>
  <c r="AU48" i="1"/>
  <c r="AS75" i="1"/>
  <c r="AT75" i="1"/>
  <c r="AY75" i="1"/>
  <c r="AI75" i="1"/>
  <c r="AZ75" i="1" s="1"/>
  <c r="AI77" i="1"/>
  <c r="AS78" i="1"/>
  <c r="AT78" i="1"/>
  <c r="AY78" i="1"/>
  <c r="AI78" i="1"/>
  <c r="AZ78" i="1" s="1"/>
  <c r="AS79" i="1"/>
  <c r="AT79" i="1"/>
  <c r="AX79" i="1"/>
  <c r="AY79" i="1"/>
  <c r="AI79" i="1"/>
  <c r="AZ79" i="1" s="1"/>
  <c r="AS80" i="1"/>
  <c r="AT80" i="1"/>
  <c r="AY80" i="1"/>
  <c r="AI80" i="1"/>
  <c r="AZ80" i="1" s="1"/>
  <c r="AS81" i="1"/>
  <c r="AT81" i="1"/>
  <c r="AY81" i="1"/>
  <c r="AI81" i="1"/>
  <c r="AS82" i="1"/>
  <c r="AT82" i="1"/>
  <c r="AY82" i="1"/>
  <c r="AI82" i="1"/>
  <c r="AS83" i="1"/>
  <c r="AT83" i="1"/>
  <c r="AY83" i="1"/>
  <c r="AI83" i="1"/>
  <c r="AZ83" i="1" s="1"/>
  <c r="AI84" i="1"/>
  <c r="AS85" i="1"/>
  <c r="AY85" i="1"/>
  <c r="AI85" i="1"/>
  <c r="AS87" i="1"/>
  <c r="AT87" i="1"/>
  <c r="AX87" i="1"/>
  <c r="AY87" i="1"/>
  <c r="AI87" i="1"/>
  <c r="AZ87" i="1" s="1"/>
  <c r="AI88" i="1"/>
  <c r="AS89" i="1"/>
  <c r="AT89" i="1"/>
  <c r="AX89" i="1"/>
  <c r="AY89" i="1"/>
  <c r="AI89" i="1"/>
  <c r="AZ89" i="1" s="1"/>
  <c r="AS91" i="1"/>
  <c r="AT91" i="1"/>
  <c r="AS92" i="1"/>
  <c r="AT92" i="1"/>
  <c r="AY92" i="1"/>
  <c r="AI92" i="1"/>
  <c r="AZ92" i="1" s="1"/>
  <c r="AI93" i="1"/>
  <c r="AS94" i="1"/>
  <c r="AT94" i="1"/>
  <c r="AY94" i="1"/>
  <c r="AI94" i="1"/>
  <c r="AS95" i="1"/>
  <c r="AT95" i="1"/>
  <c r="AY95" i="1"/>
  <c r="AI95" i="1"/>
  <c r="AS96" i="1"/>
  <c r="AT96" i="1"/>
  <c r="AY96" i="1"/>
  <c r="AI96" i="1"/>
  <c r="AS98" i="1"/>
  <c r="AT98" i="1"/>
  <c r="AX98" i="1"/>
  <c r="AY98" i="1"/>
  <c r="AI98" i="1"/>
  <c r="AZ98" i="1" s="1"/>
  <c r="AS99" i="1"/>
  <c r="AT99" i="1"/>
  <c r="AX99" i="1"/>
  <c r="AY99" i="1"/>
  <c r="AI99" i="1"/>
  <c r="AZ99" i="1" s="1"/>
  <c r="AI100" i="1"/>
  <c r="AS101" i="1"/>
  <c r="AT101" i="1"/>
  <c r="AY101" i="1"/>
  <c r="AI101" i="1"/>
  <c r="AS106" i="1"/>
  <c r="AT106" i="1"/>
  <c r="AX106" i="1"/>
  <c r="AY106" i="1"/>
  <c r="AI106" i="1"/>
  <c r="AZ106" i="1" s="1"/>
  <c r="AI107" i="1"/>
  <c r="AS108" i="1"/>
  <c r="AT108" i="1"/>
  <c r="AY108" i="1"/>
  <c r="AI108" i="1"/>
  <c r="AI74" i="1"/>
  <c r="AY74" i="1"/>
  <c r="AT74" i="1"/>
  <c r="AS74" i="1"/>
  <c r="AI48" i="1"/>
  <c r="AS49" i="1"/>
  <c r="AT49" i="1"/>
  <c r="AY49" i="1"/>
  <c r="AI49" i="1"/>
  <c r="AS50" i="1"/>
  <c r="AT50" i="1"/>
  <c r="AY50" i="1"/>
  <c r="AI50" i="1"/>
  <c r="AS52" i="1"/>
  <c r="AT52" i="1"/>
  <c r="AY52" i="1"/>
  <c r="AS53" i="1"/>
  <c r="AT53" i="1"/>
  <c r="AX53" i="1"/>
  <c r="BA53" i="1" s="1"/>
  <c r="AI53" i="1"/>
  <c r="AZ53" i="1" s="1"/>
  <c r="AS54" i="1"/>
  <c r="AT54" i="1"/>
  <c r="AY54" i="1"/>
  <c r="AI54" i="1"/>
  <c r="AS55" i="1"/>
  <c r="AT55" i="1"/>
  <c r="AY55" i="1"/>
  <c r="AI55" i="1"/>
  <c r="AS56" i="1"/>
  <c r="AT56" i="1"/>
  <c r="AY56" i="1"/>
  <c r="AI56" i="1"/>
  <c r="AS59" i="1"/>
  <c r="AT59" i="1"/>
  <c r="AY59" i="1"/>
  <c r="AS60" i="1"/>
  <c r="AT60" i="1"/>
  <c r="AX60" i="1"/>
  <c r="AY60" i="1"/>
  <c r="AI60" i="1"/>
  <c r="AZ60" i="1" s="1"/>
  <c r="AS61" i="1"/>
  <c r="AT61" i="1"/>
  <c r="AY61" i="1"/>
  <c r="AI61" i="1"/>
  <c r="AS62" i="1"/>
  <c r="AT62" i="1"/>
  <c r="AY62" i="1"/>
  <c r="AI62" i="1"/>
  <c r="AS63" i="1"/>
  <c r="AT63" i="1"/>
  <c r="AY63" i="1"/>
  <c r="AI63" i="1"/>
  <c r="AI64" i="1"/>
  <c r="AS65" i="1"/>
  <c r="AT65" i="1"/>
  <c r="AX65" i="1"/>
  <c r="AY65" i="1"/>
  <c r="AI65" i="1"/>
  <c r="AZ65" i="1" s="1"/>
  <c r="AS66" i="1"/>
  <c r="AT66" i="1"/>
  <c r="AX66" i="1"/>
  <c r="AY66" i="1"/>
  <c r="AI66" i="1"/>
  <c r="AZ66" i="1" s="1"/>
  <c r="AI67" i="1"/>
  <c r="AI68" i="1"/>
  <c r="AS69" i="1"/>
  <c r="AT69" i="1"/>
  <c r="AY69" i="1"/>
  <c r="AI69" i="1"/>
  <c r="AS70" i="1"/>
  <c r="AT70" i="1"/>
  <c r="AY70" i="1"/>
  <c r="AI70" i="1"/>
  <c r="AS72" i="1"/>
  <c r="AT72" i="1"/>
  <c r="AY72" i="1"/>
  <c r="AI72" i="1"/>
  <c r="AS14" i="1"/>
  <c r="AT14" i="1"/>
  <c r="AY14" i="1"/>
  <c r="AI14" i="1"/>
  <c r="AS15" i="1"/>
  <c r="AT15" i="1"/>
  <c r="AY15" i="1"/>
  <c r="AI15" i="1"/>
  <c r="AS17" i="1"/>
  <c r="AT17" i="1"/>
  <c r="AY17" i="1"/>
  <c r="AI17" i="1"/>
  <c r="AS18" i="1"/>
  <c r="AT18" i="1"/>
  <c r="AY18" i="1"/>
  <c r="AS20" i="1"/>
  <c r="AT20" i="1"/>
  <c r="AY20" i="1"/>
  <c r="AI20" i="1"/>
  <c r="AI21" i="1"/>
  <c r="AS22" i="1"/>
  <c r="AT22" i="1"/>
  <c r="AY22" i="1"/>
  <c r="AI22" i="1"/>
  <c r="AS23" i="1"/>
  <c r="AT23" i="1"/>
  <c r="AY23" i="1"/>
  <c r="AI23" i="1"/>
  <c r="AS24" i="1"/>
  <c r="AT24" i="1"/>
  <c r="AY24" i="1"/>
  <c r="AI24" i="1"/>
  <c r="AZ24" i="1" s="1"/>
  <c r="AS26" i="1"/>
  <c r="AT26" i="1"/>
  <c r="AY26" i="1"/>
  <c r="AI26" i="1"/>
  <c r="AS27" i="1"/>
  <c r="AT27" i="1"/>
  <c r="AY27" i="1"/>
  <c r="AI27" i="1"/>
  <c r="AS28" i="1"/>
  <c r="AY28" i="1"/>
  <c r="AI28" i="1"/>
  <c r="AI29" i="1"/>
  <c r="AS31" i="1"/>
  <c r="AT31" i="1"/>
  <c r="AY31" i="1"/>
  <c r="AI31" i="1"/>
  <c r="AS32" i="1"/>
  <c r="AT32" i="1"/>
  <c r="AY32" i="1"/>
  <c r="AI32" i="1"/>
  <c r="AZ32" i="1" s="1"/>
  <c r="AS33" i="1"/>
  <c r="AT33" i="1"/>
  <c r="AY33" i="1"/>
  <c r="AI33" i="1"/>
  <c r="AI34" i="1"/>
  <c r="AI35" i="1"/>
  <c r="AI36" i="1"/>
  <c r="AS37" i="1"/>
  <c r="AT37" i="1"/>
  <c r="AY37" i="1"/>
  <c r="AI37" i="1"/>
  <c r="AZ37" i="1" s="1"/>
  <c r="AU38" i="1"/>
  <c r="AY38" i="1"/>
  <c r="AI38" i="1"/>
  <c r="AI39" i="1"/>
  <c r="AI40" i="1"/>
  <c r="AI41" i="1"/>
  <c r="AS42" i="1"/>
  <c r="AT42" i="1"/>
  <c r="AY42" i="1"/>
  <c r="AS43" i="1"/>
  <c r="AT43" i="1"/>
  <c r="AY43" i="1"/>
  <c r="AI43" i="1"/>
  <c r="AI44" i="1"/>
  <c r="AS45" i="1"/>
  <c r="AT45" i="1"/>
  <c r="AY45" i="1"/>
  <c r="AI45" i="1"/>
  <c r="AY47" i="1"/>
  <c r="AU12" i="1"/>
  <c r="AS9" i="1"/>
  <c r="AT9" i="1"/>
  <c r="AY9" i="1"/>
  <c r="AI9" i="1"/>
  <c r="AS8" i="1"/>
  <c r="AT8" i="1"/>
  <c r="AY8" i="1"/>
  <c r="AI8" i="1"/>
  <c r="S2" i="1"/>
  <c r="AI19" i="1"/>
  <c r="AI10" i="1"/>
  <c r="AI11" i="1"/>
  <c r="AI16" i="1"/>
  <c r="AI103" i="1"/>
  <c r="AI7" i="1"/>
  <c r="E64" i="1"/>
  <c r="E74" i="1"/>
  <c r="E60" i="1"/>
  <c r="E33" i="1"/>
  <c r="R90" i="1"/>
  <c r="R105" i="1"/>
  <c r="E72" i="1"/>
  <c r="E75" i="1"/>
  <c r="R98" i="1"/>
  <c r="R99" i="1"/>
  <c r="R100" i="1"/>
  <c r="R101" i="1"/>
  <c r="R102" i="1"/>
  <c r="R103" i="1"/>
  <c r="R106" i="1"/>
  <c r="R107" i="1"/>
  <c r="R108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1" i="1"/>
  <c r="R93" i="1"/>
  <c r="R94" i="1"/>
  <c r="R95" i="1"/>
  <c r="R96" i="1"/>
  <c r="R49" i="1"/>
  <c r="R50" i="1"/>
  <c r="R52" i="1"/>
  <c r="R53" i="1"/>
  <c r="R54" i="1"/>
  <c r="R55" i="1"/>
  <c r="R56" i="1"/>
  <c r="R57" i="1"/>
  <c r="R58" i="1"/>
  <c r="R59" i="1"/>
  <c r="R60" i="1"/>
  <c r="R61" i="1"/>
  <c r="R62" i="1"/>
  <c r="R63" i="1"/>
  <c r="R65" i="1"/>
  <c r="R66" i="1"/>
  <c r="R67" i="1"/>
  <c r="R68" i="1"/>
  <c r="R69" i="1"/>
  <c r="R70" i="1"/>
  <c r="R26" i="1"/>
  <c r="R27" i="1"/>
  <c r="R28" i="1"/>
  <c r="R29" i="1"/>
  <c r="R30" i="1"/>
  <c r="R33" i="1"/>
  <c r="R34" i="1"/>
  <c r="R36" i="1"/>
  <c r="R37" i="1"/>
  <c r="R38" i="1"/>
  <c r="R39" i="1"/>
  <c r="R42" i="1"/>
  <c r="R43" i="1"/>
  <c r="R44" i="1"/>
  <c r="R45" i="1"/>
  <c r="R48" i="1"/>
  <c r="R14" i="1"/>
  <c r="R15" i="1"/>
  <c r="R16" i="1"/>
  <c r="R17" i="1"/>
  <c r="R18" i="1"/>
  <c r="R19" i="1"/>
  <c r="R20" i="1"/>
  <c r="R22" i="1"/>
  <c r="R23" i="1"/>
  <c r="R9" i="1"/>
  <c r="R10" i="1"/>
  <c r="R12" i="1"/>
  <c r="R8" i="1"/>
  <c r="R7" i="1"/>
  <c r="E16" i="1"/>
  <c r="BD7" i="1"/>
  <c r="AU7" i="1"/>
  <c r="AX101" i="1" l="1"/>
  <c r="BA101" i="1" s="1"/>
  <c r="AX50" i="1"/>
  <c r="BA50" i="1" s="1"/>
  <c r="AX43" i="1"/>
  <c r="BA43" i="1" s="1"/>
  <c r="BB43" i="1" s="1"/>
  <c r="AX108" i="1"/>
  <c r="BA108" i="1" s="1"/>
  <c r="BB108" i="1" s="1"/>
  <c r="AX94" i="1"/>
  <c r="BA94" i="1" s="1"/>
  <c r="BB94" i="1" s="1"/>
  <c r="AX74" i="1"/>
  <c r="BA74" i="1" s="1"/>
  <c r="BB74" i="1" s="1"/>
  <c r="AX83" i="1"/>
  <c r="BA83" i="1" s="1"/>
  <c r="BB83" i="1" s="1"/>
  <c r="AX62" i="1"/>
  <c r="BA62" i="1" s="1"/>
  <c r="BB62" i="1" s="1"/>
  <c r="AX82" i="1"/>
  <c r="BA82" i="1" s="1"/>
  <c r="AX78" i="1"/>
  <c r="BA78" i="1" s="1"/>
  <c r="AX72" i="1"/>
  <c r="BA72" i="1" s="1"/>
  <c r="BB72" i="1" s="1"/>
  <c r="AX61" i="1"/>
  <c r="BA61" i="1" s="1"/>
  <c r="BB61" i="1" s="1"/>
  <c r="AX49" i="1"/>
  <c r="BA49" i="1" s="1"/>
  <c r="BB49" i="1" s="1"/>
  <c r="AX33" i="1"/>
  <c r="BA33" i="1" s="1"/>
  <c r="BB33" i="1" s="1"/>
  <c r="AX28" i="1"/>
  <c r="BA28" i="1" s="1"/>
  <c r="BB28" i="1" s="1"/>
  <c r="AX24" i="1"/>
  <c r="BA24" i="1" s="1"/>
  <c r="BB24" i="1" s="1"/>
  <c r="AX92" i="1"/>
  <c r="BA92" i="1" s="1"/>
  <c r="BB92" i="1" s="1"/>
  <c r="AX81" i="1"/>
  <c r="BA81" i="1" s="1"/>
  <c r="AX70" i="1"/>
  <c r="BA70" i="1" s="1"/>
  <c r="BB70" i="1" s="1"/>
  <c r="AX56" i="1"/>
  <c r="BA56" i="1" s="1"/>
  <c r="BB56" i="1" s="1"/>
  <c r="AX52" i="1"/>
  <c r="BA52" i="1" s="1"/>
  <c r="BB52" i="1" s="1"/>
  <c r="AX32" i="1"/>
  <c r="BA32" i="1" s="1"/>
  <c r="BB32" i="1" s="1"/>
  <c r="AX27" i="1"/>
  <c r="BA27" i="1" s="1"/>
  <c r="BB27" i="1" s="1"/>
  <c r="AX37" i="1"/>
  <c r="BA37" i="1" s="1"/>
  <c r="BB37" i="1" s="1"/>
  <c r="AX96" i="1"/>
  <c r="BA96" i="1" s="1"/>
  <c r="BB96" i="1" s="1"/>
  <c r="AX85" i="1"/>
  <c r="BA85" i="1" s="1"/>
  <c r="BB85" i="1" s="1"/>
  <c r="AX80" i="1"/>
  <c r="BA80" i="1" s="1"/>
  <c r="BB80" i="1" s="1"/>
  <c r="AX75" i="1"/>
  <c r="BA75" i="1" s="1"/>
  <c r="BB75" i="1" s="1"/>
  <c r="AX69" i="1"/>
  <c r="BA69" i="1" s="1"/>
  <c r="BB69" i="1" s="1"/>
  <c r="AX63" i="1"/>
  <c r="BA63" i="1" s="1"/>
  <c r="BB63" i="1" s="1"/>
  <c r="AX55" i="1"/>
  <c r="BA55" i="1" s="1"/>
  <c r="BB55" i="1" s="1"/>
  <c r="AX45" i="1"/>
  <c r="BA45" i="1" s="1"/>
  <c r="BB45" i="1" s="1"/>
  <c r="AX38" i="1"/>
  <c r="BA38" i="1" s="1"/>
  <c r="BB38" i="1" s="1"/>
  <c r="AX31" i="1"/>
  <c r="BA31" i="1" s="1"/>
  <c r="BB31" i="1" s="1"/>
  <c r="AX26" i="1"/>
  <c r="BA26" i="1" s="1"/>
  <c r="BB26" i="1" s="1"/>
  <c r="BB82" i="1"/>
  <c r="BB78" i="1"/>
  <c r="M28" i="1"/>
  <c r="N28" i="1" s="1"/>
  <c r="V28" i="1" s="1"/>
  <c r="M25" i="1"/>
  <c r="N25" i="1" s="1"/>
  <c r="V25" i="1" s="1"/>
  <c r="AI42" i="1"/>
  <c r="AX42" i="1" s="1"/>
  <c r="BA42" i="1" s="1"/>
  <c r="BB42" i="1" s="1"/>
  <c r="AI57" i="1"/>
  <c r="R24" i="1"/>
  <c r="AI12" i="1"/>
  <c r="R31" i="1"/>
  <c r="R40" i="1"/>
  <c r="AI25" i="1"/>
  <c r="AX18" i="1"/>
  <c r="V79" i="1"/>
  <c r="M31" i="1"/>
  <c r="N31" i="1" s="1"/>
  <c r="V31" i="1" s="1"/>
  <c r="R25" i="1"/>
  <c r="AI18" i="1"/>
  <c r="AZ18" i="1" s="1"/>
  <c r="AE37" i="1"/>
  <c r="AM37" i="1" s="1"/>
  <c r="AI59" i="1"/>
  <c r="AX59" i="1" s="1"/>
  <c r="BA59" i="1" s="1"/>
  <c r="BB59" i="1" s="1"/>
  <c r="V89" i="1"/>
  <c r="V85" i="1"/>
  <c r="V81" i="1"/>
  <c r="V77" i="1"/>
  <c r="V73" i="1"/>
  <c r="X73" i="1" s="1"/>
  <c r="V68" i="1"/>
  <c r="AI30" i="1"/>
  <c r="AI52" i="1"/>
  <c r="M16" i="1"/>
  <c r="N16" i="1" s="1"/>
  <c r="R32" i="1"/>
  <c r="V93" i="1"/>
  <c r="AD103" i="1"/>
  <c r="AE103" i="1" s="1"/>
  <c r="AM103" i="1" s="1"/>
  <c r="AO103" i="1" s="1"/>
  <c r="M103" i="1"/>
  <c r="N103" i="1" s="1"/>
  <c r="V103" i="1" s="1"/>
  <c r="AD28" i="1"/>
  <c r="AU28" i="1" s="1"/>
  <c r="AV28" i="1" s="1"/>
  <c r="AD85" i="1"/>
  <c r="AE85" i="1" s="1"/>
  <c r="AM85" i="1" s="1"/>
  <c r="AD21" i="1"/>
  <c r="AE21" i="1" s="1"/>
  <c r="AM21" i="1" s="1"/>
  <c r="AO21" i="1" s="1"/>
  <c r="AD25" i="1"/>
  <c r="AE25" i="1" s="1"/>
  <c r="AM25" i="1" s="1"/>
  <c r="AO25" i="1" s="1"/>
  <c r="BB81" i="1"/>
  <c r="AV27" i="1"/>
  <c r="AV70" i="1"/>
  <c r="AV56" i="1"/>
  <c r="BB101" i="1"/>
  <c r="BB54" i="1"/>
  <c r="BB53" i="1"/>
  <c r="BB50" i="1"/>
  <c r="AK61" i="1"/>
  <c r="AV72" i="1"/>
  <c r="AK9" i="1"/>
  <c r="AK14" i="1"/>
  <c r="AV15" i="1"/>
  <c r="AV98" i="1"/>
  <c r="AJ51" i="1"/>
  <c r="AK51" i="1" s="1"/>
  <c r="AE106" i="1"/>
  <c r="AM106" i="1" s="1"/>
  <c r="AU96" i="1"/>
  <c r="AV96" i="1" s="1"/>
  <c r="AK8" i="1"/>
  <c r="AE61" i="1"/>
  <c r="AE81" i="1"/>
  <c r="AU81" i="1"/>
  <c r="AV81" i="1" s="1"/>
  <c r="AU78" i="1"/>
  <c r="AV78" i="1" s="1"/>
  <c r="BD78" i="1" s="1"/>
  <c r="AE9" i="1"/>
  <c r="AE82" i="1"/>
  <c r="AM82" i="1" s="1"/>
  <c r="AU49" i="1"/>
  <c r="AV49" i="1" s="1"/>
  <c r="AK108" i="1"/>
  <c r="AV32" i="1"/>
  <c r="AE27" i="1"/>
  <c r="AM27" i="1" s="1"/>
  <c r="AE70" i="1"/>
  <c r="AE56" i="1"/>
  <c r="AM56" i="1" s="1"/>
  <c r="AK23" i="1"/>
  <c r="AK60" i="1"/>
  <c r="BB60" i="1" s="1"/>
  <c r="AU87" i="1"/>
  <c r="AV87" i="1" s="1"/>
  <c r="BD87" i="1" s="1"/>
  <c r="AV52" i="1"/>
  <c r="AV95" i="1"/>
  <c r="BD95" i="1" s="1"/>
  <c r="AV8" i="1"/>
  <c r="AV17" i="1"/>
  <c r="AI51" i="1"/>
  <c r="AE74" i="1"/>
  <c r="AM74" i="1" s="1"/>
  <c r="AV18" i="1"/>
  <c r="AE26" i="1"/>
  <c r="AE105" i="1"/>
  <c r="AM105" i="1" s="1"/>
  <c r="AK24" i="1"/>
  <c r="AV45" i="1"/>
  <c r="AV60" i="1"/>
  <c r="AU43" i="1"/>
  <c r="AV43" i="1" s="1"/>
  <c r="BA106" i="1"/>
  <c r="AU91" i="1"/>
  <c r="AV91" i="1" s="1"/>
  <c r="AV106" i="1"/>
  <c r="BD106" i="1" s="1"/>
  <c r="AU63" i="1"/>
  <c r="AV63" i="1" s="1"/>
  <c r="BA87" i="1"/>
  <c r="AU24" i="1"/>
  <c r="AV24" i="1" s="1"/>
  <c r="AV82" i="1"/>
  <c r="AK98" i="1"/>
  <c r="BB98" i="1" s="1"/>
  <c r="M90" i="1"/>
  <c r="N90" i="1" s="1"/>
  <c r="V90" i="1" s="1"/>
  <c r="AE95" i="1"/>
  <c r="AM95" i="1" s="1"/>
  <c r="AE20" i="1"/>
  <c r="AE50" i="1"/>
  <c r="AM50" i="1" s="1"/>
  <c r="AV61" i="1"/>
  <c r="M104" i="1"/>
  <c r="N104" i="1" s="1"/>
  <c r="V104" i="1" s="1"/>
  <c r="AE15" i="1"/>
  <c r="AU14" i="1"/>
  <c r="AV14" i="1" s="1"/>
  <c r="AK62" i="1"/>
  <c r="AK65" i="1"/>
  <c r="BB65" i="1" s="1"/>
  <c r="AU83" i="1"/>
  <c r="AV83" i="1" s="1"/>
  <c r="AM11" i="1"/>
  <c r="AO11" i="1" s="1"/>
  <c r="AE52" i="1"/>
  <c r="AK33" i="1"/>
  <c r="AV37" i="1"/>
  <c r="AK69" i="1"/>
  <c r="BD69" i="1" s="1"/>
  <c r="AE62" i="1"/>
  <c r="AE60" i="1"/>
  <c r="AU75" i="1"/>
  <c r="AV75" i="1" s="1"/>
  <c r="AV108" i="1"/>
  <c r="AM107" i="1"/>
  <c r="AO107" i="1" s="1"/>
  <c r="AV9" i="1"/>
  <c r="AK52" i="1"/>
  <c r="R41" i="1"/>
  <c r="R64" i="1"/>
  <c r="R104" i="1"/>
  <c r="AE8" i="1"/>
  <c r="AI102" i="1"/>
  <c r="AE99" i="1"/>
  <c r="AM99" i="1" s="1"/>
  <c r="AM87" i="1"/>
  <c r="AI86" i="1"/>
  <c r="AK15" i="1"/>
  <c r="AK18" i="1"/>
  <c r="BB18" i="1" s="1"/>
  <c r="AU33" i="1"/>
  <c r="AV33" i="1" s="1"/>
  <c r="AK42" i="1"/>
  <c r="AU55" i="1"/>
  <c r="AV55" i="1" s="1"/>
  <c r="AU66" i="1"/>
  <c r="AV66" i="1" s="1"/>
  <c r="AE18" i="1"/>
  <c r="AI58" i="1"/>
  <c r="AM49" i="1"/>
  <c r="AK40" i="1"/>
  <c r="AM40" i="1" s="1"/>
  <c r="AO40" i="1" s="1"/>
  <c r="AK59" i="1"/>
  <c r="AK96" i="1"/>
  <c r="R35" i="1"/>
  <c r="R92" i="1"/>
  <c r="V76" i="1"/>
  <c r="X76" i="1" s="1"/>
  <c r="AI47" i="1"/>
  <c r="AZ47" i="1" s="1"/>
  <c r="AX47" i="1" s="1"/>
  <c r="BA47" i="1" s="1"/>
  <c r="BB47" i="1" s="1"/>
  <c r="AE32" i="1"/>
  <c r="AM32" i="1" s="1"/>
  <c r="AE108" i="1"/>
  <c r="AE100" i="1"/>
  <c r="AI91" i="1"/>
  <c r="AX91" i="1" s="1"/>
  <c r="BA91" i="1" s="1"/>
  <c r="BB91" i="1" s="1"/>
  <c r="AQ2" i="1"/>
  <c r="V92" i="1"/>
  <c r="V84" i="1"/>
  <c r="V70" i="1"/>
  <c r="V43" i="1"/>
  <c r="V53" i="1"/>
  <c r="M47" i="1"/>
  <c r="N47" i="1" s="1"/>
  <c r="V47" i="1" s="1"/>
  <c r="V24" i="1"/>
  <c r="V14" i="1"/>
  <c r="AM67" i="1"/>
  <c r="AO67" i="1" s="1"/>
  <c r="AM88" i="1"/>
  <c r="AO88" i="1" s="1"/>
  <c r="AM39" i="1"/>
  <c r="AO39" i="1" s="1"/>
  <c r="AM22" i="1"/>
  <c r="AM77" i="1"/>
  <c r="AO77" i="1" s="1"/>
  <c r="AM75" i="1"/>
  <c r="AM80" i="1"/>
  <c r="AM78" i="1"/>
  <c r="V95" i="1"/>
  <c r="V87" i="1"/>
  <c r="V67" i="1"/>
  <c r="V48" i="1"/>
  <c r="V34" i="1"/>
  <c r="V44" i="1"/>
  <c r="V41" i="1"/>
  <c r="AE72" i="1"/>
  <c r="AM72" i="1" s="1"/>
  <c r="AM93" i="1"/>
  <c r="AK55" i="1"/>
  <c r="AU89" i="1"/>
  <c r="AV89" i="1" s="1"/>
  <c r="V100" i="1"/>
  <c r="V62" i="1"/>
  <c r="V56" i="1"/>
  <c r="V52" i="1"/>
  <c r="AD51" i="1"/>
  <c r="AE51" i="1" s="1"/>
  <c r="V82" i="1"/>
  <c r="V74" i="1"/>
  <c r="V26" i="1"/>
  <c r="AM64" i="1"/>
  <c r="AO64" i="1" s="1"/>
  <c r="AM31" i="1"/>
  <c r="R47" i="1"/>
  <c r="V106" i="1"/>
  <c r="AM35" i="1"/>
  <c r="AO35" i="1" s="1"/>
  <c r="AE94" i="1"/>
  <c r="AU80" i="1"/>
  <c r="AV80" i="1" s="1"/>
  <c r="BD80" i="1" s="1"/>
  <c r="V65" i="1"/>
  <c r="V19" i="1"/>
  <c r="AM41" i="1"/>
  <c r="AK20" i="1"/>
  <c r="AU22" i="1"/>
  <c r="AV22" i="1" s="1"/>
  <c r="BD22" i="1" s="1"/>
  <c r="AM16" i="1"/>
  <c r="AO16" i="1" s="1"/>
  <c r="V16" i="1"/>
  <c r="V8" i="1"/>
  <c r="V98" i="1"/>
  <c r="V59" i="1"/>
  <c r="V30" i="1"/>
  <c r="AE69" i="1"/>
  <c r="AE54" i="1"/>
  <c r="AM54" i="1" s="1"/>
  <c r="AE98" i="1"/>
  <c r="AK26" i="1"/>
  <c r="AU31" i="1"/>
  <c r="AV31" i="1" s="1"/>
  <c r="AK38" i="1"/>
  <c r="AU53" i="1"/>
  <c r="AV53" i="1" s="1"/>
  <c r="AU65" i="1"/>
  <c r="AV65" i="1" s="1"/>
  <c r="AD90" i="1"/>
  <c r="AE90" i="1" s="1"/>
  <c r="V105" i="1"/>
  <c r="V94" i="1"/>
  <c r="V91" i="1"/>
  <c r="V88" i="1"/>
  <c r="V86" i="1"/>
  <c r="V83" i="1"/>
  <c r="V80" i="1"/>
  <c r="V78" i="1"/>
  <c r="V75" i="1"/>
  <c r="V72" i="1"/>
  <c r="V69" i="1"/>
  <c r="V66" i="1"/>
  <c r="V61" i="1"/>
  <c r="AM36" i="1"/>
  <c r="AM58" i="1"/>
  <c r="AO58" i="1" s="1"/>
  <c r="AM84" i="1"/>
  <c r="AO84" i="1" s="1"/>
  <c r="BA79" i="1"/>
  <c r="AM68" i="1"/>
  <c r="AM48" i="1"/>
  <c r="V102" i="1"/>
  <c r="V99" i="1"/>
  <c r="V63" i="1"/>
  <c r="AE45" i="1"/>
  <c r="AM45" i="1" s="1"/>
  <c r="AE17" i="1"/>
  <c r="AM17" i="1" s="1"/>
  <c r="V50" i="1"/>
  <c r="V42" i="1"/>
  <c r="V54" i="1"/>
  <c r="AK89" i="1"/>
  <c r="BA89" i="1"/>
  <c r="V23" i="1"/>
  <c r="V20" i="1"/>
  <c r="V18" i="1"/>
  <c r="V10" i="1"/>
  <c r="V57" i="1"/>
  <c r="V55" i="1"/>
  <c r="V39" i="1"/>
  <c r="V36" i="1"/>
  <c r="V32" i="1"/>
  <c r="AD47" i="1"/>
  <c r="AT47" i="1"/>
  <c r="AE92" i="1"/>
  <c r="AU92" i="1"/>
  <c r="AV92" i="1" s="1"/>
  <c r="V107" i="1"/>
  <c r="V101" i="1"/>
  <c r="V96" i="1"/>
  <c r="V64" i="1"/>
  <c r="V60" i="1"/>
  <c r="BA99" i="1"/>
  <c r="AV20" i="1"/>
  <c r="AK28" i="1"/>
  <c r="AJ104" i="1"/>
  <c r="AK66" i="1"/>
  <c r="BB66" i="1" s="1"/>
  <c r="AK70" i="1"/>
  <c r="AK53" i="1"/>
  <c r="AK94" i="1"/>
  <c r="AK63" i="1"/>
  <c r="AK81" i="1"/>
  <c r="AK43" i="1"/>
  <c r="AK91" i="1"/>
  <c r="AJ90" i="1"/>
  <c r="AK90" i="1" s="1"/>
  <c r="AI90" i="1"/>
  <c r="AK92" i="1"/>
  <c r="AK83" i="1"/>
  <c r="AK100" i="1"/>
  <c r="AM57" i="1"/>
  <c r="AO57" i="1" s="1"/>
  <c r="AD104" i="1"/>
  <c r="AU79" i="1"/>
  <c r="AV79" i="1" s="1"/>
  <c r="BD79" i="1" s="1"/>
  <c r="AE79" i="1"/>
  <c r="AM79" i="1" s="1"/>
  <c r="AU101" i="1"/>
  <c r="AV101" i="1" s="1"/>
  <c r="AE101" i="1"/>
  <c r="AM101" i="1" s="1"/>
  <c r="AU23" i="1"/>
  <c r="AV23" i="1" s="1"/>
  <c r="AE23" i="1"/>
  <c r="AE30" i="1"/>
  <c r="AM30" i="1" s="1"/>
  <c r="AU42" i="1"/>
  <c r="AV42" i="1" s="1"/>
  <c r="AE42" i="1"/>
  <c r="AV74" i="1"/>
  <c r="AU59" i="1"/>
  <c r="AV59" i="1" s="1"/>
  <c r="AE59" i="1"/>
  <c r="R51" i="1"/>
  <c r="V7" i="1"/>
  <c r="V22" i="1"/>
  <c r="V17" i="1"/>
  <c r="V15" i="1"/>
  <c r="V12" i="1"/>
  <c r="V9" i="1"/>
  <c r="V108" i="1"/>
  <c r="V58" i="1"/>
  <c r="AV62" i="1"/>
  <c r="V45" i="1"/>
  <c r="V40" i="1"/>
  <c r="AM44" i="1"/>
  <c r="AO44" i="1" s="1"/>
  <c r="AM34" i="1"/>
  <c r="AO34" i="1" s="1"/>
  <c r="AO73" i="1"/>
  <c r="AM102" i="1"/>
  <c r="AO102" i="1" s="1"/>
  <c r="AV50" i="1"/>
  <c r="AV54" i="1"/>
  <c r="M51" i="1"/>
  <c r="N51" i="1" s="1"/>
  <c r="V51" i="1" s="1"/>
  <c r="BA105" i="1"/>
  <c r="V49" i="1"/>
  <c r="AM7" i="1"/>
  <c r="AO7" i="1" s="1"/>
  <c r="AM86" i="1"/>
  <c r="AO86" i="1" s="1"/>
  <c r="AV99" i="1"/>
  <c r="BD99" i="1" s="1"/>
  <c r="AM29" i="1"/>
  <c r="AO29" i="1" s="1"/>
  <c r="AV94" i="1"/>
  <c r="T2" i="1"/>
  <c r="AV105" i="1"/>
  <c r="BD105" i="1" s="1"/>
  <c r="V35" i="1"/>
  <c r="V27" i="1"/>
  <c r="AM12" i="1"/>
  <c r="AO12" i="1" s="1"/>
  <c r="V37" i="1"/>
  <c r="V33" i="1"/>
  <c r="V29" i="1"/>
  <c r="AM19" i="1"/>
  <c r="AO19" i="1" s="1"/>
  <c r="AM10" i="1"/>
  <c r="AO10" i="1" s="1"/>
  <c r="BD51" i="1"/>
  <c r="BD75" i="1" l="1"/>
  <c r="BD27" i="1"/>
  <c r="BD26" i="1"/>
  <c r="AM14" i="1"/>
  <c r="X14" i="1" s="1"/>
  <c r="AU85" i="1"/>
  <c r="AV85" i="1" s="1"/>
  <c r="BD85" i="1" s="1"/>
  <c r="AO85" i="1" s="1"/>
  <c r="BD82" i="1"/>
  <c r="BD45" i="1"/>
  <c r="AO45" i="1" s="1"/>
  <c r="BD49" i="1"/>
  <c r="AO49" i="1" s="1"/>
  <c r="X93" i="1"/>
  <c r="BD56" i="1"/>
  <c r="BD70" i="1"/>
  <c r="BD74" i="1"/>
  <c r="AO74" i="1" s="1"/>
  <c r="X68" i="1"/>
  <c r="BD31" i="1"/>
  <c r="AO31" i="1" s="1"/>
  <c r="AE28" i="1"/>
  <c r="AM28" i="1" s="1"/>
  <c r="X28" i="1" s="1"/>
  <c r="BD32" i="1"/>
  <c r="AO32" i="1" s="1"/>
  <c r="BD101" i="1"/>
  <c r="AO101" i="1" s="1"/>
  <c r="BD54" i="1"/>
  <c r="AO54" i="1" s="1"/>
  <c r="BD37" i="1"/>
  <c r="BD72" i="1"/>
  <c r="AO72" i="1" s="1"/>
  <c r="BD61" i="1"/>
  <c r="AM61" i="1"/>
  <c r="X61" i="1" s="1"/>
  <c r="BD9" i="1"/>
  <c r="BD14" i="1"/>
  <c r="AO14" i="1" s="1"/>
  <c r="AM9" i="1"/>
  <c r="BD15" i="1"/>
  <c r="BD98" i="1"/>
  <c r="X49" i="1"/>
  <c r="BD8" i="1"/>
  <c r="BD60" i="1"/>
  <c r="BD108" i="1"/>
  <c r="BD18" i="1"/>
  <c r="AM8" i="1"/>
  <c r="AO105" i="1"/>
  <c r="AO37" i="1"/>
  <c r="BD17" i="1"/>
  <c r="AO17" i="1" s="1"/>
  <c r="BD59" i="1"/>
  <c r="AM60" i="1"/>
  <c r="X82" i="1"/>
  <c r="X64" i="1"/>
  <c r="X105" i="1"/>
  <c r="BD24" i="1"/>
  <c r="AM24" i="1"/>
  <c r="X24" i="1" s="1"/>
  <c r="AM108" i="1"/>
  <c r="AM23" i="1"/>
  <c r="X23" i="1" s="1"/>
  <c r="BD23" i="1"/>
  <c r="BD92" i="1"/>
  <c r="BD81" i="1"/>
  <c r="X22" i="1"/>
  <c r="AM59" i="1"/>
  <c r="BD52" i="1"/>
  <c r="AM62" i="1"/>
  <c r="X62" i="1" s="1"/>
  <c r="AO78" i="1"/>
  <c r="X35" i="1"/>
  <c r="AM52" i="1"/>
  <c r="X52" i="1" s="1"/>
  <c r="X67" i="1"/>
  <c r="BD20" i="1"/>
  <c r="AM65" i="1"/>
  <c r="X65" i="1" s="1"/>
  <c r="AO27" i="1"/>
  <c r="BD63" i="1"/>
  <c r="AO75" i="1"/>
  <c r="AM42" i="1"/>
  <c r="X42" i="1" s="1"/>
  <c r="AK2" i="1"/>
  <c r="X107" i="1"/>
  <c r="BD42" i="1"/>
  <c r="AM63" i="1"/>
  <c r="X63" i="1" s="1"/>
  <c r="AM69" i="1"/>
  <c r="AO69" i="1" s="1"/>
  <c r="AO87" i="1"/>
  <c r="BD33" i="1"/>
  <c r="X40" i="1"/>
  <c r="AM81" i="1"/>
  <c r="X81" i="1" s="1"/>
  <c r="X78" i="1"/>
  <c r="AM26" i="1"/>
  <c r="X26" i="1" s="1"/>
  <c r="AO22" i="1"/>
  <c r="X74" i="1"/>
  <c r="AM98" i="1"/>
  <c r="AO56" i="1"/>
  <c r="AO106" i="1"/>
  <c r="BD94" i="1"/>
  <c r="AO82" i="1"/>
  <c r="X48" i="1"/>
  <c r="AM90" i="1"/>
  <c r="AO90" i="1" s="1"/>
  <c r="X87" i="1"/>
  <c r="AM70" i="1"/>
  <c r="BD62" i="1"/>
  <c r="BD66" i="1"/>
  <c r="AM33" i="1"/>
  <c r="X33" i="1" s="1"/>
  <c r="X72" i="1"/>
  <c r="BD65" i="1"/>
  <c r="X95" i="1"/>
  <c r="X56" i="1"/>
  <c r="X37" i="1"/>
  <c r="X103" i="1"/>
  <c r="AO48" i="1"/>
  <c r="BD83" i="1"/>
  <c r="X32" i="1"/>
  <c r="X75" i="1"/>
  <c r="AM18" i="1"/>
  <c r="X18" i="1" s="1"/>
  <c r="BD96" i="1"/>
  <c r="AM96" i="1"/>
  <c r="AO41" i="1"/>
  <c r="X39" i="1"/>
  <c r="AO93" i="1"/>
  <c r="X106" i="1"/>
  <c r="AO80" i="1"/>
  <c r="AO99" i="1"/>
  <c r="X80" i="1"/>
  <c r="AM15" i="1"/>
  <c r="AO79" i="1"/>
  <c r="X88" i="1"/>
  <c r="X77" i="1"/>
  <c r="AM20" i="1"/>
  <c r="X20" i="1" s="1"/>
  <c r="AO36" i="1"/>
  <c r="X41" i="1"/>
  <c r="AM51" i="1"/>
  <c r="AO51" i="1" s="1"/>
  <c r="BD55" i="1"/>
  <c r="AM55" i="1"/>
  <c r="X55" i="1" s="1"/>
  <c r="X99" i="1"/>
  <c r="X36" i="1"/>
  <c r="AE104" i="1"/>
  <c r="AO68" i="1"/>
  <c r="X16" i="1"/>
  <c r="X31" i="1"/>
  <c r="AM94" i="1"/>
  <c r="M2" i="1"/>
  <c r="V2" i="1" s="1"/>
  <c r="X29" i="1"/>
  <c r="AO95" i="1"/>
  <c r="X45" i="1"/>
  <c r="X58" i="1"/>
  <c r="BD28" i="1"/>
  <c r="AM43" i="1"/>
  <c r="X43" i="1" s="1"/>
  <c r="X54" i="1"/>
  <c r="X85" i="1"/>
  <c r="X84" i="1"/>
  <c r="X12" i="1"/>
  <c r="X7" i="1"/>
  <c r="X102" i="1"/>
  <c r="AM83" i="1"/>
  <c r="X34" i="1"/>
  <c r="BD38" i="1"/>
  <c r="AM38" i="1"/>
  <c r="X27" i="1"/>
  <c r="BD50" i="1"/>
  <c r="AO50" i="1" s="1"/>
  <c r="BD53" i="1"/>
  <c r="AM53" i="1"/>
  <c r="BD43" i="1"/>
  <c r="X79" i="1"/>
  <c r="X57" i="1"/>
  <c r="AU47" i="1"/>
  <c r="AV47" i="1" s="1"/>
  <c r="BD47" i="1" s="1"/>
  <c r="AE47" i="1"/>
  <c r="AM47" i="1" s="1"/>
  <c r="X47" i="1" s="1"/>
  <c r="AM66" i="1"/>
  <c r="X17" i="1"/>
  <c r="AK104" i="1"/>
  <c r="BA2" i="1"/>
  <c r="X101" i="1"/>
  <c r="AM92" i="1"/>
  <c r="X92" i="1" s="1"/>
  <c r="AD2" i="1"/>
  <c r="X25" i="1"/>
  <c r="AO30" i="1"/>
  <c r="AM100" i="1"/>
  <c r="X100" i="1" s="1"/>
  <c r="BD91" i="1"/>
  <c r="AM91" i="1"/>
  <c r="X44" i="1"/>
  <c r="X86" i="1"/>
  <c r="BB89" i="1"/>
  <c r="BD89" i="1" s="1"/>
  <c r="AM89" i="1"/>
  <c r="X30" i="1"/>
  <c r="X50" i="1"/>
  <c r="X19" i="1"/>
  <c r="X10" i="1"/>
  <c r="AO70" i="1" l="1"/>
  <c r="AO61" i="1"/>
  <c r="AO108" i="1"/>
  <c r="AO9" i="1"/>
  <c r="AO8" i="1"/>
  <c r="X9" i="1"/>
  <c r="AO59" i="1"/>
  <c r="AO60" i="1"/>
  <c r="AO15" i="1"/>
  <c r="X108" i="1"/>
  <c r="AO98" i="1"/>
  <c r="AO23" i="1"/>
  <c r="AO18" i="1"/>
  <c r="X8" i="1"/>
  <c r="X60" i="1"/>
  <c r="AO62" i="1"/>
  <c r="X90" i="1"/>
  <c r="AO42" i="1"/>
  <c r="X59" i="1"/>
  <c r="AO24" i="1"/>
  <c r="AO52" i="1"/>
  <c r="AO81" i="1"/>
  <c r="AO83" i="1"/>
  <c r="AO26" i="1"/>
  <c r="AO43" i="1"/>
  <c r="AO33" i="1"/>
  <c r="AO63" i="1"/>
  <c r="X70" i="1"/>
  <c r="X69" i="1"/>
  <c r="AO65" i="1"/>
  <c r="AM2" i="1"/>
  <c r="X4" i="1" s="1"/>
  <c r="AO96" i="1"/>
  <c r="X98" i="1"/>
  <c r="X51" i="1"/>
  <c r="AO94" i="1"/>
  <c r="X15" i="1"/>
  <c r="X96" i="1"/>
  <c r="N2" i="1"/>
  <c r="AO28" i="1"/>
  <c r="AO20" i="1"/>
  <c r="AE2" i="1"/>
  <c r="X94" i="1"/>
  <c r="AU2" i="1"/>
  <c r="BD2" i="1" s="1"/>
  <c r="AO4" i="1" s="1"/>
  <c r="X83" i="1"/>
  <c r="AO55" i="1"/>
  <c r="X38" i="1"/>
  <c r="AO38" i="1"/>
  <c r="AO100" i="1"/>
  <c r="AO66" i="1"/>
  <c r="X66" i="1"/>
  <c r="AO47" i="1"/>
  <c r="AO89" i="1"/>
  <c r="X89" i="1"/>
  <c r="AO91" i="1"/>
  <c r="X91" i="1"/>
  <c r="AM104" i="1"/>
  <c r="AO92" i="1"/>
  <c r="AO53" i="1"/>
  <c r="X53" i="1"/>
  <c r="AO104" i="1" l="1"/>
  <c r="X1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tc={4957F836-3C60-4E91-9305-E32B535932E6}</author>
    <author>tc={1244569D-B147-43CF-A2F4-39C1AA29EBD5}</author>
    <author>Pia</author>
    <author>tc={BCFDE23D-22B6-4B29-A784-482DF716683E}</author>
    <author>tc={CEB889D4-3341-43EB-BE62-75FBD2BC5692}</author>
    <author>tc={3E6877E7-D4B2-407D-A74B-727CDEFBB177}</author>
    <author>tc={F15304E5-A332-4B93-8EAE-29E3210C5D44}</author>
    <author>tc={432633AC-F6E1-4F45-9A7A-EFD983354A3F}</author>
    <author>tc={874211E3-973D-4E8B-8BDC-15191D2A8B9C}</author>
    <author>tc={9035F334-7573-44BD-93AE-BD204BA50713}</author>
    <author>tc={40871317-9F07-4135-AAD2-FEE238D9A8C3}</author>
    <author>tc={6A5A2663-CAB9-40D3-A0C1-62D21934DA4F}</author>
    <author>tc={FBC9D318-CE4D-40C2-8E77-B68F117EC198}</author>
    <author>tc={7CB0856E-9449-418E-B557-1F58C558F10A}</author>
    <author>tc={9689CA8E-06C1-4906-920E-36B818C1F887}</author>
    <author>tc={A1CC35E2-5F85-4BE2-87B4-EAA176605C9D}</author>
    <author>tc={1C27FC8D-7DE5-4DCE-8ADF-D366D52C1F87}</author>
    <author>tc={EC841808-979B-44E0-94C9-F0D1342D57A2}</author>
    <author>tc={B589903E-09DA-4674-BC2E-B498BA2822E9}</author>
  </authors>
  <commentList>
    <comment ref="AB11" authorId="0" shapeId="0" xr:uid="{4957F836-3C60-4E91-9305-E32B535932E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11 maanden omgerekend naar 12</t>
      </text>
    </comment>
    <comment ref="AC11" authorId="1" shapeId="0" xr:uid="{1244569D-B147-43CF-A2F4-39C1AA29EBD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11 maanden omgerekend naar 12</t>
      </text>
    </comment>
    <comment ref="E16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Noodlokalen
</t>
        </r>
      </text>
    </comment>
    <comment ref="AB21" authorId="3" shapeId="0" xr:uid="{BCFDE23D-22B6-4B29-A784-482DF716683E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4 maanden omgerekend naar 12</t>
      </text>
    </comment>
    <comment ref="AC21" authorId="4" shapeId="0" xr:uid="{CEB889D4-3341-43EB-BE62-75FBD2BC569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4 maanden omgerekend naar 12</t>
      </text>
    </comment>
    <comment ref="AG21" authorId="5" shapeId="0" xr:uid="{3E6877E7-D4B2-407D-A74B-727CDEFBB17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4 maanden omgerekend naar 12</t>
      </text>
    </comment>
    <comment ref="AB22" authorId="6" shapeId="0" xr:uid="{F15304E5-A332-4B93-8EAE-29E3210C5D4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jaarnota?</t>
      </text>
    </comment>
    <comment ref="AG26" authorId="7" shapeId="0" xr:uid="{432633AC-F6E1-4F45-9A7A-EFD983354A3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Bron is EagleEnergy</t>
      </text>
    </comment>
    <comment ref="F32" authorId="8" shapeId="0" xr:uid="{874211E3-973D-4E8B-8BDC-15191D2A8B9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Renovatie 2016?</t>
      </text>
    </comment>
    <comment ref="AB33" authorId="9" shapeId="0" xr:uid="{9035F334-7573-44BD-93AE-BD204BA5071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jaarnota?</t>
      </text>
    </comment>
    <comment ref="AG35" authorId="10" shapeId="0" xr:uid="{40871317-9F07-4135-AAD2-FEE238D9A8C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jaarnota?</t>
      </text>
    </comment>
    <comment ref="AB42" authorId="11" shapeId="0" xr:uid="{6A5A2663-CAB9-40D3-A0C1-62D21934DA4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jaarnota?</t>
      </text>
    </comment>
    <comment ref="P54" authorId="12" shapeId="0" xr:uid="{FBC9D318-CE4D-40C2-8E77-B68F117EC19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aansluiting, dit is de gem waarde</t>
      </text>
    </comment>
    <comment ref="AG65" authorId="13" shapeId="0" xr:uid="{7CB0856E-9449-418E-B557-1F58C558F10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Waarde 2017, nog geen jaarnota 2018</t>
      </text>
    </comment>
    <comment ref="F73" authorId="14" shapeId="0" xr:uid="{9689CA8E-06C1-4906-920E-36B818C1F88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2011 duurzame renovatie</t>
      </text>
    </comment>
    <comment ref="BF75" authorId="15" shapeId="0" xr:uid="{A1CC35E2-5F85-4BE2-87B4-EAA176605C9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0.33 is factor opwek die direct wordt verbruikt door de school, rest gaat het net in (weekend/vakantie)</t>
      </text>
    </comment>
    <comment ref="AB81" authorId="16" shapeId="0" xr:uid="{1C27FC8D-7DE5-4DCE-8ADF-D366D52C1F8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geen jaarnota?</t>
      </text>
    </comment>
    <comment ref="F91" authorId="17" shapeId="0" xr:uid="{EC841808-979B-44E0-94C9-F0D1342D57A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2018 'duurzame' renovatie</t>
      </text>
    </comment>
    <comment ref="AG100" authorId="18" shapeId="0" xr:uid="{B589903E-09DA-4674-BC2E-B498BA2822E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Verbruik 2017</t>
      </text>
    </comment>
  </commentList>
</comments>
</file>

<file path=xl/sharedStrings.xml><?xml version="1.0" encoding="utf-8"?>
<sst xmlns="http://schemas.openxmlformats.org/spreadsheetml/2006/main" count="1824" uniqueCount="80">
  <si>
    <t>Naam</t>
  </si>
  <si>
    <t>Adres</t>
  </si>
  <si>
    <t>Filter!</t>
  </si>
  <si>
    <t>Elektra</t>
  </si>
  <si>
    <t>Dal</t>
  </si>
  <si>
    <t>Piek</t>
  </si>
  <si>
    <t>Totaal</t>
  </si>
  <si>
    <t>kWh</t>
  </si>
  <si>
    <t>m3</t>
  </si>
  <si>
    <t>.</t>
  </si>
  <si>
    <t>kWh/m2/J</t>
  </si>
  <si>
    <t>Gas in kWh</t>
  </si>
  <si>
    <t>m2 BVO</t>
  </si>
  <si>
    <t>m2</t>
  </si>
  <si>
    <t>kWh/m2</t>
  </si>
  <si>
    <t>m3-GJ/m2</t>
  </si>
  <si>
    <t>m3-GJ</t>
  </si>
  <si>
    <t>GJ</t>
  </si>
  <si>
    <t>G os SW Bch</t>
  </si>
  <si>
    <t>E Bch</t>
  </si>
  <si>
    <t>in Kwh/J</t>
  </si>
  <si>
    <t>BVO</t>
  </si>
  <si>
    <t>Gas of warmte</t>
  </si>
  <si>
    <t>B J</t>
  </si>
  <si>
    <t>m3 gas 2017</t>
  </si>
  <si>
    <t>-</t>
  </si>
  <si>
    <t>m3/m2</t>
  </si>
  <si>
    <t>Plan?</t>
  </si>
  <si>
    <t>ja</t>
  </si>
  <si>
    <t>PV postcoderoos -10mWh</t>
  </si>
  <si>
    <t>ja, loc is tijdelijk</t>
  </si>
  <si>
    <t>ja, afstoten</t>
  </si>
  <si>
    <t>IHP on hold (kl school), wel E-neef en cv</t>
  </si>
  <si>
    <t>ja, IHP 3, nieuwbouw</t>
  </si>
  <si>
    <t>ja, IHP 3, nieuwbouw/renovatie</t>
  </si>
  <si>
    <t>ja, IHP 2, nieuwbouw/renovatie</t>
  </si>
  <si>
    <t>Ja, IHP 3, renovatie</t>
  </si>
  <si>
    <t>Ja, IHP 3, nieuwbouw/renovatie</t>
  </si>
  <si>
    <t>IHP 1</t>
  </si>
  <si>
    <t>ja, IHP 1, nieuwbouw</t>
  </si>
  <si>
    <t>ja, IHP 2, nieuwbouw/renovatie Carnissedr.</t>
  </si>
  <si>
    <t>Ja, IHP, nieuwbouw</t>
  </si>
  <si>
    <t>Led en PV postcoderoos -10mWh</t>
  </si>
  <si>
    <t>SDE PV 130mWp (95% * 0,33 minder kWh)</t>
  </si>
  <si>
    <t>SDE PV 269mWp (95% * 0,33 minder kWh)</t>
  </si>
  <si>
    <t>EINDE</t>
  </si>
  <si>
    <t>ZZ</t>
  </si>
  <si>
    <t>m2 met gas</t>
  </si>
  <si>
    <t>m3 gas in 2018</t>
  </si>
  <si>
    <t>in kWh</t>
  </si>
  <si>
    <t>m2/m2</t>
  </si>
  <si>
    <t>MFA inhuur</t>
  </si>
  <si>
    <t>Inhuur</t>
  </si>
  <si>
    <t>Afstoten</t>
  </si>
  <si>
    <t>IHP Blijdorp - 2019 bekend</t>
  </si>
  <si>
    <t>Ruilen?</t>
  </si>
  <si>
    <t>IHP Delfshaven - 2019 bekend</t>
  </si>
  <si>
    <t>IHP SO 2019</t>
  </si>
  <si>
    <t>SDE PV 100mWp (95% * 0,33 minder kWh) IHP VSO</t>
  </si>
  <si>
    <t>Afstoten 1--8-2020</t>
  </si>
  <si>
    <t>Afstoten 1-8-2020</t>
  </si>
  <si>
    <t>Controle</t>
  </si>
  <si>
    <t>2019 aanpassen verwarming</t>
  </si>
  <si>
    <t>Alleen gas gymzaal</t>
  </si>
  <si>
    <t>MAATREGEL</t>
  </si>
  <si>
    <t>Volgorde</t>
  </si>
  <si>
    <t>MFA</t>
  </si>
  <si>
    <t>Geen kosten</t>
  </si>
  <si>
    <t>&lt; 8,5 m3/m2</t>
  </si>
  <si>
    <t>Ja, IHP 3, renovatie. 0 op de meter</t>
  </si>
  <si>
    <t>PO</t>
  </si>
  <si>
    <t>(V)SO</t>
  </si>
  <si>
    <t>E</t>
  </si>
  <si>
    <t>ja, nieuwbouw</t>
  </si>
  <si>
    <t>IHP 2, on hold i.v.m. kleine school</t>
  </si>
  <si>
    <t>Ja, IHP 1</t>
  </si>
  <si>
    <t>Ja, IHP 3, nieuwbouw</t>
  </si>
  <si>
    <t>Ja, KC, afstoten</t>
  </si>
  <si>
    <t>Ja, KC, nieuwbouw</t>
  </si>
  <si>
    <t>IHP 1, naar nwbouw - pand handhaven IHP 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</si>
</sst>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_ * #,##0.000_ ;_ * \-#,##0.000_ ;_ * &quot;-&quot;??_ ;_ @_ "/>
    <numFmt numFmtId="167" formatCode="0.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1" xfId="0" applyFont="1" applyFill="1" applyBorder="1"/>
    <xf numFmtId="165" fontId="3" fillId="4" borderId="1" xfId="1" applyNumberFormat="1" applyFont="1" applyFill="1" applyBorder="1"/>
    <xf numFmtId="164" fontId="3" fillId="4" borderId="1" xfId="1" applyNumberFormat="1" applyFont="1" applyFill="1" applyBorder="1"/>
    <xf numFmtId="165" fontId="3" fillId="4" borderId="1" xfId="1" applyNumberFormat="1" applyFont="1" applyFill="1" applyBorder="1" applyAlignment="1">
      <alignment horizontal="left"/>
    </xf>
    <xf numFmtId="164" fontId="4" fillId="4" borderId="1" xfId="1" applyNumberFormat="1" applyFont="1" applyFill="1" applyBorder="1"/>
    <xf numFmtId="0" fontId="4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left"/>
    </xf>
    <xf numFmtId="164" fontId="3" fillId="4" borderId="1" xfId="1" applyNumberFormat="1" applyFont="1" applyFill="1" applyBorder="1" applyAlignment="1">
      <alignment horizontal="center"/>
    </xf>
    <xf numFmtId="0" fontId="4" fillId="4" borderId="1" xfId="0" applyFont="1" applyFill="1" applyBorder="1"/>
    <xf numFmtId="165" fontId="4" fillId="4" borderId="1" xfId="1" applyNumberFormat="1" applyFont="1" applyFill="1" applyBorder="1"/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66" fontId="3" fillId="4" borderId="1" xfId="1" applyNumberFormat="1" applyFont="1" applyFill="1" applyBorder="1"/>
    <xf numFmtId="0" fontId="5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165" fontId="3" fillId="3" borderId="1" xfId="1" applyNumberFormat="1" applyFont="1" applyFill="1" applyBorder="1"/>
    <xf numFmtId="0" fontId="3" fillId="3" borderId="1" xfId="0" applyFont="1" applyFill="1" applyBorder="1" applyAlignment="1">
      <alignment horizontal="left"/>
    </xf>
    <xf numFmtId="164" fontId="3" fillId="3" borderId="1" xfId="1" applyNumberFormat="1" applyFont="1" applyFill="1" applyBorder="1"/>
    <xf numFmtId="0" fontId="3" fillId="3" borderId="1" xfId="0" applyFont="1" applyFill="1" applyBorder="1"/>
    <xf numFmtId="165" fontId="3" fillId="3" borderId="1" xfId="1" applyNumberFormat="1" applyFont="1" applyFill="1" applyBorder="1" applyAlignment="1">
      <alignment horizontal="center"/>
    </xf>
    <xf numFmtId="9" fontId="3" fillId="0" borderId="0" xfId="2" applyFont="1"/>
    <xf numFmtId="165" fontId="3" fillId="5" borderId="1" xfId="1" applyNumberFormat="1" applyFont="1" applyFill="1" applyBorder="1"/>
    <xf numFmtId="0" fontId="3" fillId="5" borderId="1" xfId="0" applyFont="1" applyFill="1" applyBorder="1"/>
    <xf numFmtId="164" fontId="3" fillId="5" borderId="1" xfId="1" applyNumberFormat="1" applyFont="1" applyFill="1" applyBorder="1"/>
    <xf numFmtId="165" fontId="3" fillId="4" borderId="1" xfId="1" applyNumberFormat="1" applyFont="1" applyFill="1" applyBorder="1" applyAlignment="1">
      <alignment horizontal="center"/>
    </xf>
    <xf numFmtId="167" fontId="3" fillId="4" borderId="0" xfId="0" applyNumberFormat="1" applyFont="1" applyFill="1"/>
    <xf numFmtId="164" fontId="4" fillId="4" borderId="1" xfId="1" applyNumberFormat="1" applyFont="1" applyFill="1" applyBorder="1" applyAlignment="1">
      <alignment horizontal="center"/>
    </xf>
    <xf numFmtId="0" fontId="3" fillId="5" borderId="0" xfId="0" applyFont="1" applyFill="1"/>
    <xf numFmtId="49" fontId="4" fillId="2" borderId="1" xfId="1" applyNumberFormat="1" applyFont="1" applyFill="1" applyBorder="1"/>
    <xf numFmtId="165" fontId="3" fillId="2" borderId="1" xfId="1" applyNumberFormat="1" applyFont="1" applyFill="1" applyBorder="1"/>
    <xf numFmtId="164" fontId="3" fillId="2" borderId="1" xfId="1" applyNumberFormat="1" applyFont="1" applyFill="1" applyBorder="1"/>
    <xf numFmtId="0" fontId="5" fillId="3" borderId="1" xfId="0" applyFont="1" applyFill="1" applyBorder="1"/>
    <xf numFmtId="165" fontId="5" fillId="3" borderId="1" xfId="1" applyNumberFormat="1" applyFont="1" applyFill="1" applyBorder="1"/>
    <xf numFmtId="164" fontId="5" fillId="3" borderId="1" xfId="1" applyNumberFormat="1" applyFont="1" applyFill="1" applyBorder="1"/>
    <xf numFmtId="0" fontId="3" fillId="6" borderId="1" xfId="0" applyFont="1" applyFill="1" applyBorder="1"/>
    <xf numFmtId="165" fontId="3" fillId="6" borderId="1" xfId="1" applyNumberFormat="1" applyFont="1" applyFill="1" applyBorder="1"/>
    <xf numFmtId="164" fontId="3" fillId="6" borderId="1" xfId="1" applyNumberFormat="1" applyFont="1" applyFill="1" applyBorder="1"/>
    <xf numFmtId="165" fontId="3" fillId="7" borderId="1" xfId="1" applyNumberFormat="1" applyFont="1" applyFill="1" applyBorder="1"/>
    <xf numFmtId="0" fontId="3" fillId="2" borderId="0" xfId="0" applyFont="1" applyFill="1" applyAlignment="1">
      <alignment horizontal="center"/>
    </xf>
    <xf numFmtId="167" fontId="3" fillId="4" borderId="1" xfId="0" applyNumberFormat="1" applyFont="1" applyFill="1" applyBorder="1"/>
    <xf numFmtId="167" fontId="3" fillId="3" borderId="1" xfId="0" applyNumberFormat="1" applyFont="1" applyFill="1" applyBorder="1"/>
    <xf numFmtId="167" fontId="3" fillId="6" borderId="1" xfId="0" applyNumberFormat="1" applyFont="1" applyFill="1" applyBorder="1"/>
    <xf numFmtId="0" fontId="3" fillId="7" borderId="1" xfId="0" applyFont="1" applyFill="1" applyBorder="1"/>
    <xf numFmtId="167" fontId="3" fillId="7" borderId="1" xfId="0" applyNumberFormat="1" applyFont="1" applyFill="1" applyBorder="1"/>
    <xf numFmtId="10" fontId="3" fillId="5" borderId="0" xfId="2" applyNumberFormat="1" applyFont="1" applyFill="1"/>
    <xf numFmtId="167" fontId="3" fillId="5" borderId="1" xfId="0" applyNumberFormat="1" applyFont="1" applyFill="1" applyBorder="1"/>
    <xf numFmtId="0" fontId="3" fillId="5" borderId="0" xfId="0" applyFont="1" applyFill="1" applyAlignment="1">
      <alignment horizontal="center"/>
    </xf>
    <xf numFmtId="0" fontId="3" fillId="4" borderId="5" xfId="0" applyFont="1" applyFill="1" applyBorder="1"/>
    <xf numFmtId="168" fontId="3" fillId="4" borderId="1" xfId="0" applyNumberFormat="1" applyFont="1" applyFill="1" applyBorder="1"/>
    <xf numFmtId="0" fontId="3" fillId="8" borderId="0" xfId="0" applyFont="1" applyFill="1" applyAlignment="1">
      <alignment horizontal="center"/>
    </xf>
    <xf numFmtId="9" fontId="3" fillId="5" borderId="0" xfId="2" applyFont="1" applyFill="1"/>
    <xf numFmtId="0" fontId="3" fillId="9" borderId="0" xfId="0" applyFont="1" applyFill="1"/>
    <xf numFmtId="165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5" fontId="7" fillId="2" borderId="3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3" fillId="4" borderId="5" xfId="1" applyNumberFormat="1" applyFont="1" applyFill="1" applyBorder="1"/>
    <xf numFmtId="164" fontId="3" fillId="4" borderId="5" xfId="1" applyNumberFormat="1" applyFont="1" applyFill="1" applyBorder="1"/>
    <xf numFmtId="167" fontId="3" fillId="0" borderId="1" xfId="0" applyNumberFormat="1" applyFont="1" applyFill="1" applyBorder="1"/>
    <xf numFmtId="167" fontId="3" fillId="2" borderId="1" xfId="0" applyNumberFormat="1" applyFont="1" applyFill="1" applyBorder="1"/>
    <xf numFmtId="0" fontId="2" fillId="5" borderId="0" xfId="0" applyFont="1" applyFill="1" applyAlignment="1">
      <alignment horizontal="left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mco" id="{6D09AB00-7713-4E88-A018-BC8C276603E7}" userId="Remco" providerId="None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B11" dT="2019-03-02T11:09:16.77" personId="{6D09AB00-7713-4E88-A018-BC8C276603E7}" id="{4957F836-3C60-4E91-9305-E32B535932E6}">
    <text>11 maanden omgerekend naar 12</text>
  </threadedComment>
  <threadedComment ref="AC11" dT="2019-03-02T11:09:29.70" personId="{6D09AB00-7713-4E88-A018-BC8C276603E7}" id="{1244569D-B147-43CF-A2F4-39C1AA29EBD5}">
    <text>11 maanden omgerekend naar 12</text>
  </threadedComment>
  <threadedComment ref="AB21" dT="2019-03-02T11:16:05.19" personId="{6D09AB00-7713-4E88-A018-BC8C276603E7}" id="{BCFDE23D-22B6-4B29-A784-482DF716683E}">
    <text>4 maanden omgerekend naar 12</text>
  </threadedComment>
  <threadedComment ref="AC21" dT="2019-03-02T11:16:18.72" personId="{6D09AB00-7713-4E88-A018-BC8C276603E7}" id="{CEB889D4-3341-43EB-BE62-75FBD2BC5692}">
    <text>4 maanden omgerekend naar 12</text>
  </threadedComment>
  <threadedComment ref="AG21" dT="2019-03-02T14:16:20.13" personId="{6D09AB00-7713-4E88-A018-BC8C276603E7}" id="{3E6877E7-D4B2-407D-A74B-727CDEFBB177}">
    <text>4 maanden omgerekend naar 12</text>
  </threadedComment>
  <threadedComment ref="AB22" dT="2019-03-02T11:59:48.03" personId="{6D09AB00-7713-4E88-A018-BC8C276603E7}" id="{F15304E5-A332-4B93-8EAE-29E3210C5D44}">
    <text>geen jaarnota?</text>
  </threadedComment>
  <threadedComment ref="AG26" dT="2019-03-02T14:27:52.78" personId="{6D09AB00-7713-4E88-A018-BC8C276603E7}" id="{432633AC-F6E1-4F45-9A7A-EFD983354A3F}">
    <text>Bron is EagleEnergy</text>
  </threadedComment>
  <threadedComment ref="F32" dT="2019-03-24T12:39:20.99" personId="{6D09AB00-7713-4E88-A018-BC8C276603E7}" id="{874211E3-973D-4E8B-8BDC-15191D2A8B9C}">
    <text>Renovatie 2016?</text>
  </threadedComment>
  <threadedComment ref="AB33" dT="2019-03-02T12:04:32.75" personId="{6D09AB00-7713-4E88-A018-BC8C276603E7}" id="{9035F334-7573-44BD-93AE-BD204BA50713}">
    <text>geen jaarnota?</text>
  </threadedComment>
  <threadedComment ref="AG35" dT="2019-03-02T14:48:48.14" personId="{6D09AB00-7713-4E88-A018-BC8C276603E7}" id="{40871317-9F07-4135-AAD2-FEE238D9A8C3}">
    <text>geen jaarnota?</text>
  </threadedComment>
  <threadedComment ref="AB42" dT="2019-03-02T12:05:37.60" personId="{6D09AB00-7713-4E88-A018-BC8C276603E7}" id="{6A5A2663-CAB9-40D3-A0C1-62D21934DA4F}">
    <text>geen jaarnota?</text>
  </threadedComment>
  <threadedComment ref="P54" dT="2019-03-01T20:23:35.67" personId="{6D09AB00-7713-4E88-A018-BC8C276603E7}" id="{FBC9D318-CE4D-40C2-8E77-B68F117EC198}">
    <text>Geen aansluiting, dit is de gem waarde</text>
  </threadedComment>
  <threadedComment ref="AG65" dT="2019-03-02T14:55:16.71" personId="{6D09AB00-7713-4E88-A018-BC8C276603E7}" id="{7CB0856E-9449-418E-B557-1F58C558F10A}">
    <text>Waarde 2017, nog geen jaarnota 2018</text>
  </threadedComment>
  <threadedComment ref="F73" dT="2019-03-24T12:44:47.37" personId="{6D09AB00-7713-4E88-A018-BC8C276603E7}" id="{9689CA8E-06C1-4906-920E-36B818C1F887}">
    <text>2011 duurzame renovatie</text>
  </threadedComment>
  <threadedComment ref="BF75" dT="2019-03-24T10:49:31.20" personId="{6D09AB00-7713-4E88-A018-BC8C276603E7}" id="{A1CC35E2-5F85-4BE2-87B4-EAA176605C9D}">
    <text>0.33 is factor opwek die direct wordt verbruikt door de school, rest gaat het net in (weekend/vakantie)</text>
  </threadedComment>
  <threadedComment ref="AB81" dT="2019-03-02T12:09:13.60" personId="{6D09AB00-7713-4E88-A018-BC8C276603E7}" id="{1C27FC8D-7DE5-4DCE-8ADF-D366D52C1F87}">
    <text>geen jaarnota?</text>
  </threadedComment>
  <threadedComment ref="F91" dT="2019-03-24T12:47:29.21" personId="{6D09AB00-7713-4E88-A018-BC8C276603E7}" id="{EC841808-979B-44E0-94C9-F0D1342D57A2}">
    <text>2018 'duurzame' renovatie</text>
  </threadedComment>
  <threadedComment ref="AG100" dT="2019-03-23T11:38:34.98" personId="{6D09AB00-7713-4E88-A018-BC8C276603E7}" id="{B589903E-09DA-4674-BC2E-B498BA2822E9}">
    <text>Verbruik 2017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0"/>
  <sheetViews>
    <sheetView tabSelected="1" zoomScale="90" zoomScaleNormal="90" workbookViewId="0">
      <pane xSplit="6" ySplit="6" topLeftCell="G7" activePane="bottomRight" state="frozen"/>
      <selection pane="topRight" activeCell="F1" sqref="F1"/>
      <selection pane="bottomLeft" activeCell="A6" sqref="A6"/>
      <selection pane="bottomRight" activeCell="K115" sqref="K115"/>
    </sheetView>
  </sheetViews>
  <sheetFormatPr defaultRowHeight="12" x14ac:dyDescent="0.2"/>
  <cols>
    <col min="1" max="1" width="4" style="5" bestFit="1" customWidth="1"/>
    <col min="2" max="2" width="5.140625" style="5" customWidth="1"/>
    <col min="3" max="3" width="13.85546875" style="5" customWidth="1"/>
    <col min="4" max="4" width="15.85546875" style="5" customWidth="1"/>
    <col min="5" max="5" width="11.42578125" style="8" bestFit="1" customWidth="1"/>
    <col min="6" max="6" width="6.140625" style="8" customWidth="1"/>
    <col min="7" max="7" width="8.7109375" style="8" customWidth="1"/>
    <col min="8" max="8" width="1.42578125" style="5" bestFit="1" customWidth="1"/>
    <col min="9" max="9" width="7.85546875" style="11" bestFit="1" customWidth="1"/>
    <col min="10" max="10" width="1.42578125" style="11" customWidth="1"/>
    <col min="11" max="11" width="7.42578125" style="12" bestFit="1" customWidth="1"/>
    <col min="12" max="12" width="7.85546875" style="12" bestFit="1" customWidth="1"/>
    <col min="13" max="13" width="9.28515625" style="12" bestFit="1" customWidth="1"/>
    <col min="14" max="14" width="9.42578125" style="13" customWidth="1"/>
    <col min="15" max="15" width="1.42578125" style="11" bestFit="1" customWidth="1"/>
    <col min="16" max="16" width="10.42578125" style="12" bestFit="1" customWidth="1"/>
    <col min="17" max="17" width="3.28515625" style="11" bestFit="1" customWidth="1"/>
    <col min="18" max="18" width="11.7109375" style="13" bestFit="1" customWidth="1"/>
    <col min="19" max="19" width="10.5703125" style="12" customWidth="1"/>
    <col min="20" max="20" width="11.7109375" style="13" bestFit="1" customWidth="1"/>
    <col min="21" max="21" width="1.42578125" style="11" bestFit="1" customWidth="1"/>
    <col min="22" max="22" width="11.7109375" style="13" bestFit="1" customWidth="1"/>
    <col min="23" max="23" width="1.42578125" style="5" bestFit="1" customWidth="1"/>
    <col min="24" max="24" width="9.140625" style="5"/>
    <col min="25" max="25" width="1.42578125" style="5" customWidth="1"/>
    <col min="26" max="26" width="7.85546875" style="11" bestFit="1" customWidth="1"/>
    <col min="27" max="27" width="1.5703125" style="11" bestFit="1" customWidth="1"/>
    <col min="28" max="30" width="9.28515625" style="11" bestFit="1" customWidth="1"/>
    <col min="31" max="31" width="10.7109375" style="11" bestFit="1" customWidth="1"/>
    <col min="32" max="32" width="1.5703125" style="11" bestFit="1" customWidth="1"/>
    <col min="33" max="33" width="13.28515625" style="11" bestFit="1" customWidth="1"/>
    <col min="34" max="34" width="3.42578125" style="11" bestFit="1" customWidth="1"/>
    <col min="35" max="35" width="10.7109375" style="11" bestFit="1" customWidth="1"/>
    <col min="36" max="36" width="10.5703125" style="11" bestFit="1" customWidth="1"/>
    <col min="37" max="37" width="10.7109375" style="11" customWidth="1"/>
    <col min="38" max="38" width="1.5703125" style="11" bestFit="1" customWidth="1"/>
    <col min="39" max="39" width="9.140625" style="11"/>
    <col min="40" max="40" width="1.5703125" style="5" bestFit="1" customWidth="1"/>
    <col min="41" max="41" width="9.140625" style="5"/>
    <col min="42" max="42" width="1.5703125" style="5" bestFit="1" customWidth="1"/>
    <col min="43" max="43" width="12" style="11" bestFit="1" customWidth="1"/>
    <col min="44" max="44" width="3.42578125" style="11" bestFit="1" customWidth="1"/>
    <col min="45" max="45" width="8.5703125" style="11" customWidth="1"/>
    <col min="46" max="46" width="12.7109375" style="11" customWidth="1"/>
    <col min="47" max="47" width="10.28515625" style="11" bestFit="1" customWidth="1"/>
    <col min="48" max="48" width="10.7109375" style="11" bestFit="1" customWidth="1"/>
    <col min="49" max="49" width="1.5703125" style="11" bestFit="1" customWidth="1"/>
    <col min="50" max="50" width="11.7109375" style="11" bestFit="1" customWidth="1"/>
    <col min="51" max="51" width="4.42578125" style="11" bestFit="1" customWidth="1"/>
    <col min="52" max="52" width="9.28515625" style="11" bestFit="1" customWidth="1"/>
    <col min="53" max="53" width="13" style="11" bestFit="1" customWidth="1"/>
    <col min="54" max="54" width="10.140625" style="11" bestFit="1" customWidth="1"/>
    <col min="55" max="55" width="1.5703125" style="11" bestFit="1" customWidth="1"/>
    <col min="56" max="56" width="10.140625" style="11" bestFit="1" customWidth="1"/>
    <col min="57" max="57" width="1.5703125" style="5" bestFit="1" customWidth="1"/>
    <col min="58" max="58" width="45.42578125" style="65" bestFit="1" customWidth="1"/>
    <col min="59" max="59" width="9.85546875" style="8" bestFit="1" customWidth="1"/>
    <col min="60" max="60" width="10.28515625" style="8" bestFit="1" customWidth="1"/>
    <col min="61" max="61" width="7.140625" style="8" bestFit="1" customWidth="1"/>
    <col min="62" max="62" width="1.5703125" style="5" bestFit="1" customWidth="1"/>
    <col min="63" max="86" width="9.140625" style="5"/>
    <col min="87" max="87" width="8" style="5" bestFit="1" customWidth="1"/>
    <col min="88" max="16384" width="9.140625" style="5"/>
  </cols>
  <sheetData>
    <row r="1" spans="1:87" ht="15" customHeight="1" x14ac:dyDescent="0.25">
      <c r="I1" s="42">
        <v>2017</v>
      </c>
      <c r="J1" s="28"/>
      <c r="K1" s="68" t="s">
        <v>3</v>
      </c>
      <c r="L1" s="69"/>
      <c r="M1" s="69"/>
      <c r="N1" s="70"/>
      <c r="O1" s="28"/>
      <c r="P1" s="68" t="s">
        <v>22</v>
      </c>
      <c r="Q1" s="69"/>
      <c r="R1" s="69"/>
      <c r="S1" s="69"/>
      <c r="T1" s="70"/>
      <c r="U1" s="28"/>
      <c r="V1" s="44"/>
      <c r="Z1" s="27">
        <v>2018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27">
        <v>2030</v>
      </c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</row>
    <row r="2" spans="1:87" x14ac:dyDescent="0.2">
      <c r="I2" s="12">
        <f>SUM(I7:I109)</f>
        <v>166437</v>
      </c>
      <c r="J2" s="12"/>
      <c r="K2" s="14"/>
      <c r="M2" s="12">
        <f>SUM(M7:M109)</f>
        <v>4974895.7</v>
      </c>
      <c r="N2" s="39">
        <f>M2/I2</f>
        <v>29.890563396360186</v>
      </c>
      <c r="P2" s="12">
        <v>1728106</v>
      </c>
      <c r="R2" s="12">
        <v>131588</v>
      </c>
      <c r="S2" s="26">
        <f>P2/R2</f>
        <v>13.132702070097578</v>
      </c>
      <c r="T2" s="12">
        <f>SUM(S7:S109)</f>
        <v>18699299.163800001</v>
      </c>
      <c r="V2" s="15">
        <f>(M2+T2)/I2</f>
        <v>142.24117752543003</v>
      </c>
      <c r="Y2" s="5" t="s">
        <v>25</v>
      </c>
      <c r="Z2" s="12">
        <f>SUM(Z7:Z109)</f>
        <v>167491</v>
      </c>
      <c r="AA2" s="12"/>
      <c r="AB2" s="14" t="s">
        <v>13</v>
      </c>
      <c r="AC2" s="12"/>
      <c r="AD2" s="12">
        <f>SUM(AD7:AD109)</f>
        <v>4946704</v>
      </c>
      <c r="AE2" s="19">
        <f>AD2/Z2</f>
        <v>29.534148103480188</v>
      </c>
      <c r="AG2" s="12">
        <v>1689964</v>
      </c>
      <c r="AI2" s="12">
        <v>133330</v>
      </c>
      <c r="AJ2" s="26">
        <f>AG2/AI2</f>
        <v>12.675046876171905</v>
      </c>
      <c r="AK2" s="12">
        <f>SUM(AJ7:AJ109)</f>
        <v>18351967.501999997</v>
      </c>
      <c r="AM2" s="15">
        <f>(AD2+AK2)/Z2</f>
        <v>139.10402052647603</v>
      </c>
      <c r="AQ2" s="12">
        <f>SUM(AQ7:AQ109)</f>
        <v>153278</v>
      </c>
      <c r="AR2" s="12"/>
      <c r="AS2" s="14" t="s">
        <v>13</v>
      </c>
      <c r="AT2" s="12"/>
      <c r="AU2" s="12">
        <f>SUM(AU7:AU109)</f>
        <v>4405330.5</v>
      </c>
      <c r="AV2" s="13" t="s">
        <v>7</v>
      </c>
      <c r="AX2" s="12"/>
      <c r="AZ2" s="13"/>
      <c r="BA2" s="12">
        <f>SUM(BA7:BA109)</f>
        <v>8264309.4687999981</v>
      </c>
      <c r="BB2" s="13" t="s">
        <v>7</v>
      </c>
      <c r="BD2" s="15">
        <f>(AU2+BA2)/AQ2</f>
        <v>82.657915479064158</v>
      </c>
    </row>
    <row r="3" spans="1:87" x14ac:dyDescent="0.2">
      <c r="I3" s="38" t="s">
        <v>13</v>
      </c>
      <c r="J3" s="12"/>
      <c r="K3" s="14"/>
      <c r="M3" s="19" t="s">
        <v>7</v>
      </c>
      <c r="N3" s="19" t="s">
        <v>14</v>
      </c>
      <c r="P3" s="21" t="s">
        <v>24</v>
      </c>
      <c r="R3" s="19" t="s">
        <v>47</v>
      </c>
      <c r="S3" s="38" t="s">
        <v>26</v>
      </c>
      <c r="T3" s="19" t="s">
        <v>7</v>
      </c>
      <c r="V3" s="40" t="s">
        <v>10</v>
      </c>
      <c r="X3" s="41">
        <v>2018</v>
      </c>
      <c r="Z3" s="12"/>
      <c r="AA3" s="12"/>
      <c r="AB3" s="14"/>
      <c r="AC3" s="12"/>
      <c r="AD3" s="38" t="s">
        <v>7</v>
      </c>
      <c r="AE3" s="19" t="s">
        <v>14</v>
      </c>
      <c r="AG3" s="19" t="s">
        <v>48</v>
      </c>
      <c r="AI3" s="38" t="s">
        <v>47</v>
      </c>
      <c r="AJ3" s="12" t="s">
        <v>50</v>
      </c>
      <c r="AK3" s="13" t="s">
        <v>7</v>
      </c>
      <c r="AM3" s="40" t="s">
        <v>10</v>
      </c>
      <c r="AO3" s="41">
        <v>2030</v>
      </c>
      <c r="AQ3" s="12"/>
      <c r="AR3" s="12"/>
      <c r="AS3" s="14"/>
      <c r="AT3" s="12"/>
      <c r="AU3" s="12"/>
      <c r="AV3" s="13"/>
      <c r="AX3" s="12"/>
      <c r="AZ3" s="13"/>
      <c r="BA3" s="12"/>
      <c r="BB3" s="13"/>
      <c r="BD3" s="40" t="s">
        <v>10</v>
      </c>
    </row>
    <row r="4" spans="1:87" ht="15" customHeight="1" x14ac:dyDescent="0.2">
      <c r="I4" s="16">
        <v>2017</v>
      </c>
      <c r="J4" s="16"/>
      <c r="K4" s="20"/>
      <c r="L4" s="20"/>
      <c r="M4" s="20"/>
      <c r="N4" s="20"/>
      <c r="O4" s="17"/>
      <c r="P4" s="21"/>
      <c r="Q4" s="20"/>
      <c r="R4" s="20"/>
      <c r="S4" s="20"/>
      <c r="T4" s="20"/>
      <c r="V4" s="15"/>
      <c r="W4" s="4"/>
      <c r="X4" s="58">
        <f>(V2-AM2)/V2</f>
        <v>2.2055195643983849E-2</v>
      </c>
      <c r="Y4" s="4"/>
      <c r="Z4" s="16">
        <v>2018</v>
      </c>
      <c r="AA4" s="16"/>
      <c r="AB4" s="67" t="s">
        <v>3</v>
      </c>
      <c r="AC4" s="67"/>
      <c r="AD4" s="67"/>
      <c r="AE4" s="67"/>
      <c r="AF4" s="17"/>
      <c r="AG4" s="66" t="s">
        <v>22</v>
      </c>
      <c r="AH4" s="67"/>
      <c r="AI4" s="67"/>
      <c r="AJ4" s="67"/>
      <c r="AK4" s="67"/>
      <c r="AM4" s="15"/>
      <c r="AO4" s="58">
        <f>(V2-BD2)/V2</f>
        <v>0.41888898195962637</v>
      </c>
      <c r="AQ4" s="16"/>
      <c r="AR4" s="16"/>
      <c r="AS4" s="67" t="s">
        <v>3</v>
      </c>
      <c r="AT4" s="67"/>
      <c r="AU4" s="67"/>
      <c r="AV4" s="67"/>
      <c r="AW4" s="17"/>
      <c r="AX4" s="66" t="s">
        <v>22</v>
      </c>
      <c r="AY4" s="67"/>
      <c r="AZ4" s="67"/>
      <c r="BA4" s="67"/>
      <c r="BB4" s="67"/>
      <c r="BD4" s="15"/>
    </row>
    <row r="5" spans="1:87" x14ac:dyDescent="0.2">
      <c r="G5" s="8" t="s">
        <v>9</v>
      </c>
      <c r="H5" s="5" t="s">
        <v>9</v>
      </c>
      <c r="I5" s="18" t="s">
        <v>21</v>
      </c>
      <c r="J5" s="18"/>
      <c r="K5" s="12" t="s">
        <v>4</v>
      </c>
      <c r="L5" s="12" t="s">
        <v>5</v>
      </c>
      <c r="M5" s="12" t="s">
        <v>6</v>
      </c>
      <c r="N5" s="19" t="s">
        <v>19</v>
      </c>
      <c r="O5" s="11" t="s">
        <v>9</v>
      </c>
      <c r="R5" s="13" t="s">
        <v>18</v>
      </c>
      <c r="T5" s="13" t="s">
        <v>49</v>
      </c>
      <c r="U5" s="11" t="s">
        <v>9</v>
      </c>
      <c r="V5" s="13" t="s">
        <v>6</v>
      </c>
      <c r="W5" s="5" t="s">
        <v>9</v>
      </c>
      <c r="X5" s="41">
        <v>2017</v>
      </c>
      <c r="Z5" s="18" t="s">
        <v>21</v>
      </c>
      <c r="AA5" s="18" t="s">
        <v>9</v>
      </c>
      <c r="AB5" s="12" t="s">
        <v>4</v>
      </c>
      <c r="AC5" s="12" t="s">
        <v>5</v>
      </c>
      <c r="AD5" s="12" t="s">
        <v>6</v>
      </c>
      <c r="AE5" s="19" t="s">
        <v>19</v>
      </c>
      <c r="AF5" s="11" t="s">
        <v>9</v>
      </c>
      <c r="AG5" s="12"/>
      <c r="AI5" s="13" t="s">
        <v>18</v>
      </c>
      <c r="AJ5" s="12"/>
      <c r="AK5" s="13" t="s">
        <v>49</v>
      </c>
      <c r="AL5" s="11" t="s">
        <v>9</v>
      </c>
      <c r="AM5" s="13" t="s">
        <v>6</v>
      </c>
      <c r="AN5" s="5" t="s">
        <v>9</v>
      </c>
      <c r="AO5" s="41">
        <v>2017</v>
      </c>
      <c r="AP5" s="5" t="s">
        <v>9</v>
      </c>
      <c r="AQ5" s="18" t="s">
        <v>21</v>
      </c>
      <c r="AR5" s="18" t="s">
        <v>9</v>
      </c>
      <c r="AS5" s="12" t="s">
        <v>4</v>
      </c>
      <c r="AT5" s="12" t="s">
        <v>5</v>
      </c>
      <c r="AU5" s="12" t="s">
        <v>6</v>
      </c>
      <c r="AV5" s="19" t="s">
        <v>19</v>
      </c>
      <c r="AW5" s="11" t="s">
        <v>9</v>
      </c>
      <c r="AX5" s="12"/>
      <c r="AZ5" s="13" t="s">
        <v>18</v>
      </c>
      <c r="BA5" s="12"/>
      <c r="BB5" s="13" t="s">
        <v>11</v>
      </c>
      <c r="BC5" s="11" t="s">
        <v>9</v>
      </c>
      <c r="BD5" s="13" t="s">
        <v>6</v>
      </c>
      <c r="BE5" s="5" t="s">
        <v>9</v>
      </c>
      <c r="BF5" s="65" t="s">
        <v>27</v>
      </c>
      <c r="BG5" s="8" t="s">
        <v>64</v>
      </c>
      <c r="BJ5" s="5" t="s">
        <v>9</v>
      </c>
      <c r="BK5" s="5" t="s">
        <v>65</v>
      </c>
    </row>
    <row r="6" spans="1:87" x14ac:dyDescent="0.2">
      <c r="C6" s="4" t="s">
        <v>0</v>
      </c>
      <c r="D6" s="4" t="s">
        <v>1</v>
      </c>
      <c r="E6" s="6" t="s">
        <v>12</v>
      </c>
      <c r="F6" s="6" t="s">
        <v>23</v>
      </c>
      <c r="G6" s="6"/>
      <c r="H6" s="4"/>
      <c r="I6" s="20"/>
      <c r="J6" s="20" t="s">
        <v>9</v>
      </c>
      <c r="K6" s="21" t="s">
        <v>7</v>
      </c>
      <c r="L6" s="21" t="s">
        <v>7</v>
      </c>
      <c r="M6" s="21" t="s">
        <v>7</v>
      </c>
      <c r="N6" s="15" t="s">
        <v>14</v>
      </c>
      <c r="O6" s="20"/>
      <c r="P6" s="21" t="s">
        <v>16</v>
      </c>
      <c r="Q6" s="20"/>
      <c r="R6" s="15" t="s">
        <v>15</v>
      </c>
      <c r="S6" s="21" t="s">
        <v>20</v>
      </c>
      <c r="T6" s="15" t="s">
        <v>10</v>
      </c>
      <c r="V6" s="15" t="s">
        <v>10</v>
      </c>
      <c r="Z6" s="20"/>
      <c r="AA6" s="20"/>
      <c r="AB6" s="21" t="s">
        <v>7</v>
      </c>
      <c r="AC6" s="21" t="s">
        <v>7</v>
      </c>
      <c r="AD6" s="21" t="s">
        <v>7</v>
      </c>
      <c r="AE6" s="15" t="s">
        <v>14</v>
      </c>
      <c r="AF6" s="20"/>
      <c r="AG6" s="21" t="s">
        <v>16</v>
      </c>
      <c r="AH6" s="20"/>
      <c r="AI6" s="15" t="s">
        <v>15</v>
      </c>
      <c r="AJ6" s="21" t="s">
        <v>20</v>
      </c>
      <c r="AK6" s="15" t="s">
        <v>10</v>
      </c>
      <c r="AM6" s="15" t="s">
        <v>10</v>
      </c>
      <c r="AQ6" s="20"/>
      <c r="AR6" s="20"/>
      <c r="AS6" s="21" t="s">
        <v>7</v>
      </c>
      <c r="AT6" s="21" t="s">
        <v>7</v>
      </c>
      <c r="AU6" s="21" t="s">
        <v>7</v>
      </c>
      <c r="AV6" s="15" t="s">
        <v>14</v>
      </c>
      <c r="AW6" s="20"/>
      <c r="AX6" s="21" t="s">
        <v>16</v>
      </c>
      <c r="AY6" s="20"/>
      <c r="AZ6" s="15" t="s">
        <v>15</v>
      </c>
      <c r="BA6" s="21" t="s">
        <v>20</v>
      </c>
      <c r="BB6" s="15" t="s">
        <v>10</v>
      </c>
      <c r="BD6" s="15" t="s">
        <v>10</v>
      </c>
      <c r="BG6" s="8">
        <v>1</v>
      </c>
      <c r="BH6" s="8">
        <v>2</v>
      </c>
      <c r="BI6" s="8">
        <v>3</v>
      </c>
      <c r="BJ6" s="8"/>
      <c r="BK6" s="5" t="s">
        <v>61</v>
      </c>
      <c r="CI6" s="5" t="s">
        <v>2</v>
      </c>
    </row>
    <row r="7" spans="1:87" x14ac:dyDescent="0.2">
      <c r="A7" s="5">
        <v>1</v>
      </c>
      <c r="C7" s="1">
        <v>1</v>
      </c>
      <c r="D7" s="1">
        <v>1</v>
      </c>
      <c r="E7" s="7">
        <v>1648</v>
      </c>
      <c r="F7" s="7">
        <v>1989</v>
      </c>
      <c r="G7" s="7" t="s">
        <v>70</v>
      </c>
      <c r="H7" s="1"/>
      <c r="I7" s="22">
        <v>1648</v>
      </c>
      <c r="J7" s="22"/>
      <c r="K7" s="12">
        <v>27728</v>
      </c>
      <c r="L7" s="12">
        <v>35145</v>
      </c>
      <c r="M7" s="12">
        <f>K7+L7</f>
        <v>62873</v>
      </c>
      <c r="N7" s="13">
        <f>M7/I7</f>
        <v>38.151092233009706</v>
      </c>
      <c r="P7" s="12">
        <v>11691</v>
      </c>
      <c r="Q7" s="11" t="s">
        <v>8</v>
      </c>
      <c r="R7" s="13">
        <f>P7/I7</f>
        <v>7.0940533980582527</v>
      </c>
      <c r="S7" s="12">
        <f>P7*9.769</f>
        <v>114209.379</v>
      </c>
      <c r="T7" s="13">
        <f>S7/I7</f>
        <v>69.301807645631072</v>
      </c>
      <c r="V7" s="13">
        <f>N7+T7</f>
        <v>107.45289987864078</v>
      </c>
      <c r="X7" s="34">
        <f>(V7-AM7)/V7</f>
        <v>8.9046200356276112E-2</v>
      </c>
      <c r="Z7" s="11">
        <v>1648</v>
      </c>
      <c r="AB7" s="12">
        <v>22700</v>
      </c>
      <c r="AC7" s="12">
        <v>31995</v>
      </c>
      <c r="AD7" s="12">
        <f t="shared" ref="AD7:AD12" si="0">AB7+AC7</f>
        <v>54695</v>
      </c>
      <c r="AE7" s="13">
        <f t="shared" ref="AE7:AE12" si="1">AD7/Z7</f>
        <v>33.188713592233007</v>
      </c>
      <c r="AG7" s="12">
        <v>10914</v>
      </c>
      <c r="AH7" s="11" t="s">
        <v>8</v>
      </c>
      <c r="AI7" s="13">
        <f t="shared" ref="AI7:AI12" si="2">AG7/Z7</f>
        <v>6.6225728155339807</v>
      </c>
      <c r="AJ7" s="12">
        <f>AG7*9.769</f>
        <v>106618.86599999999</v>
      </c>
      <c r="AK7" s="13">
        <f t="shared" ref="AK7:AK12" si="3">AJ7/Z7</f>
        <v>64.695913834951455</v>
      </c>
      <c r="AM7" s="13">
        <f t="shared" ref="AM7:AM12" si="4">AE7+AK7</f>
        <v>97.884627427184455</v>
      </c>
      <c r="AO7" s="34">
        <f t="shared" ref="AO7:AO12" si="5">(AM7-BD7)/AM7</f>
        <v>0.69351673711669648</v>
      </c>
      <c r="AQ7" s="36">
        <v>1800</v>
      </c>
      <c r="AR7" s="36"/>
      <c r="AS7" s="35"/>
      <c r="AT7" s="35"/>
      <c r="AU7" s="35">
        <f>AQ7*AV7</f>
        <v>54000</v>
      </c>
      <c r="AV7" s="37">
        <v>30</v>
      </c>
      <c r="AW7" s="36"/>
      <c r="AX7" s="36"/>
      <c r="AY7" s="36" t="s">
        <v>72</v>
      </c>
      <c r="AZ7" s="36"/>
      <c r="BA7" s="36"/>
      <c r="BB7" s="36"/>
      <c r="BC7" s="36"/>
      <c r="BD7" s="37">
        <f>AV7+BB7</f>
        <v>30</v>
      </c>
      <c r="BF7" s="65" t="s">
        <v>73</v>
      </c>
      <c r="BG7" s="5"/>
      <c r="BH7" s="5"/>
      <c r="BI7" s="5"/>
      <c r="BK7" s="5">
        <v>1</v>
      </c>
    </row>
    <row r="8" spans="1:87" x14ac:dyDescent="0.2">
      <c r="A8" s="5">
        <v>2</v>
      </c>
      <c r="C8" s="2">
        <v>2</v>
      </c>
      <c r="D8" s="2">
        <v>2</v>
      </c>
      <c r="E8" s="8">
        <v>1677</v>
      </c>
      <c r="F8" s="8">
        <v>1975</v>
      </c>
      <c r="G8" s="7" t="s">
        <v>70</v>
      </c>
      <c r="H8" s="2"/>
      <c r="I8" s="23">
        <v>1677</v>
      </c>
      <c r="J8" s="23"/>
      <c r="K8" s="12">
        <v>14472</v>
      </c>
      <c r="L8" s="12">
        <v>27539</v>
      </c>
      <c r="M8" s="12">
        <f>K8+L8</f>
        <v>42011</v>
      </c>
      <c r="N8" s="13">
        <f>M8/I8</f>
        <v>25.051282051282051</v>
      </c>
      <c r="P8" s="12">
        <v>18711</v>
      </c>
      <c r="Q8" s="11" t="s">
        <v>8</v>
      </c>
      <c r="R8" s="13">
        <f>P8/I8</f>
        <v>11.15742397137746</v>
      </c>
      <c r="S8" s="12">
        <f>P8*9.769</f>
        <v>182787.75899999999</v>
      </c>
      <c r="T8" s="13">
        <f>S8/I8</f>
        <v>108.99687477638641</v>
      </c>
      <c r="V8" s="13">
        <f>N8+T8</f>
        <v>134.04815682766846</v>
      </c>
      <c r="X8" s="34">
        <f>(V8-AM8)/V8</f>
        <v>-3.8683465329984346E-2</v>
      </c>
      <c r="Z8" s="11">
        <v>1677</v>
      </c>
      <c r="AB8" s="12">
        <v>11452</v>
      </c>
      <c r="AC8" s="12">
        <v>26018</v>
      </c>
      <c r="AD8" s="12">
        <f t="shared" si="0"/>
        <v>37470</v>
      </c>
      <c r="AE8" s="13">
        <f t="shared" si="1"/>
        <v>22.343470483005365</v>
      </c>
      <c r="AG8" s="12">
        <v>20066</v>
      </c>
      <c r="AH8" s="11" t="s">
        <v>8</v>
      </c>
      <c r="AI8" s="13">
        <f t="shared" si="2"/>
        <v>11.965414430530709</v>
      </c>
      <c r="AJ8" s="12">
        <f>AG8*9.769</f>
        <v>196024.75400000002</v>
      </c>
      <c r="AK8" s="13">
        <f t="shared" si="3"/>
        <v>116.89013357185451</v>
      </c>
      <c r="AM8" s="13">
        <f t="shared" si="4"/>
        <v>139.23360405485988</v>
      </c>
      <c r="AO8" s="34">
        <f t="shared" si="5"/>
        <v>0.24314269390394963</v>
      </c>
      <c r="AQ8" s="11">
        <f>Z8</f>
        <v>1677</v>
      </c>
      <c r="AS8" s="12">
        <f t="shared" ref="AS8:AU9" si="6">AB8</f>
        <v>11452</v>
      </c>
      <c r="AT8" s="12">
        <f t="shared" si="6"/>
        <v>26018</v>
      </c>
      <c r="AU8" s="12">
        <f t="shared" si="6"/>
        <v>37470</v>
      </c>
      <c r="AV8" s="53">
        <f>AU8/AQ8</f>
        <v>22.343470483005365</v>
      </c>
      <c r="AX8" s="12">
        <f>AQ8*AZ8</f>
        <v>14254.5</v>
      </c>
      <c r="AY8" s="11" t="str">
        <f t="shared" ref="AX8:BB9" si="7">AH8</f>
        <v>m3</v>
      </c>
      <c r="AZ8" s="59">
        <v>8.5</v>
      </c>
      <c r="BA8" s="12">
        <f>AX8*9.769</f>
        <v>139252.21050000002</v>
      </c>
      <c r="BB8" s="53">
        <f>BA8/AQ8</f>
        <v>83.036500000000004</v>
      </c>
      <c r="BC8" s="53"/>
      <c r="BD8" s="53">
        <f>AV8+BB8</f>
        <v>105.37997048300537</v>
      </c>
      <c r="BG8" s="10">
        <v>2029</v>
      </c>
      <c r="BH8" s="10">
        <v>2029</v>
      </c>
      <c r="BI8" s="10">
        <v>2029</v>
      </c>
      <c r="BK8" s="5">
        <v>2</v>
      </c>
    </row>
    <row r="9" spans="1:87" x14ac:dyDescent="0.2">
      <c r="A9" s="5">
        <v>3</v>
      </c>
      <c r="C9" s="2">
        <v>3</v>
      </c>
      <c r="D9" s="2">
        <v>3</v>
      </c>
      <c r="E9" s="8">
        <v>2277</v>
      </c>
      <c r="F9" s="8">
        <v>1970</v>
      </c>
      <c r="G9" s="7" t="s">
        <v>70</v>
      </c>
      <c r="H9" s="2"/>
      <c r="I9" s="23">
        <v>2277</v>
      </c>
      <c r="J9" s="23"/>
      <c r="K9" s="12">
        <v>30123</v>
      </c>
      <c r="L9" s="12">
        <v>47085</v>
      </c>
      <c r="M9" s="12">
        <f>K9+L9</f>
        <v>77208</v>
      </c>
      <c r="N9" s="13">
        <f>M9/I9</f>
        <v>33.907773386034258</v>
      </c>
      <c r="P9" s="12">
        <v>18894</v>
      </c>
      <c r="Q9" s="11" t="s">
        <v>8</v>
      </c>
      <c r="R9" s="13">
        <f>P9/I9</f>
        <v>8.2977602108036894</v>
      </c>
      <c r="S9" s="12">
        <f>P9*9.769</f>
        <v>184575.486</v>
      </c>
      <c r="T9" s="13">
        <f>S9/I9</f>
        <v>81.060819499341235</v>
      </c>
      <c r="V9" s="13">
        <f>N9+T9</f>
        <v>114.9685928853755</v>
      </c>
      <c r="X9" s="34">
        <f>(V9-AM9)/V9</f>
        <v>-2.668345932256402E-2</v>
      </c>
      <c r="Z9" s="11">
        <v>2277</v>
      </c>
      <c r="AB9" s="12">
        <v>27313</v>
      </c>
      <c r="AC9" s="12">
        <v>46320</v>
      </c>
      <c r="AD9" s="12">
        <f t="shared" si="0"/>
        <v>73633</v>
      </c>
      <c r="AE9" s="13">
        <f t="shared" si="1"/>
        <v>32.337725076855513</v>
      </c>
      <c r="AG9" s="12">
        <v>19975</v>
      </c>
      <c r="AH9" s="11" t="s">
        <v>8</v>
      </c>
      <c r="AI9" s="13">
        <f t="shared" si="2"/>
        <v>8.7725076855511634</v>
      </c>
      <c r="AJ9" s="12">
        <f>AG9*9.769</f>
        <v>195135.77499999999</v>
      </c>
      <c r="AK9" s="13">
        <f t="shared" si="3"/>
        <v>85.698627580149321</v>
      </c>
      <c r="AM9" s="13">
        <f t="shared" si="4"/>
        <v>118.03635265700484</v>
      </c>
      <c r="AO9" s="34">
        <f t="shared" si="5"/>
        <v>2.2553455102811055E-2</v>
      </c>
      <c r="AQ9" s="11">
        <f>Z9</f>
        <v>2277</v>
      </c>
      <c r="AS9" s="12">
        <f t="shared" si="6"/>
        <v>27313</v>
      </c>
      <c r="AT9" s="12">
        <f t="shared" si="6"/>
        <v>46320</v>
      </c>
      <c r="AU9" s="12">
        <f t="shared" si="6"/>
        <v>73633</v>
      </c>
      <c r="AV9" s="53">
        <f>AU9/AQ9</f>
        <v>32.337725076855513</v>
      </c>
      <c r="AX9" s="12">
        <f>AQ9*AZ9</f>
        <v>19354.5</v>
      </c>
      <c r="AY9" s="11" t="str">
        <f t="shared" si="7"/>
        <v>m3</v>
      </c>
      <c r="AZ9" s="59">
        <v>8.5</v>
      </c>
      <c r="BA9" s="12">
        <f>AX9*9.769</f>
        <v>189074.11050000001</v>
      </c>
      <c r="BB9" s="53">
        <f>BA9/AQ9</f>
        <v>83.036500000000004</v>
      </c>
      <c r="BC9" s="53"/>
      <c r="BD9" s="53">
        <f>AV9+BB9</f>
        <v>115.37422507685551</v>
      </c>
      <c r="BG9" s="10">
        <v>2029</v>
      </c>
      <c r="BH9" s="10">
        <v>2029</v>
      </c>
      <c r="BI9" s="10">
        <v>2029</v>
      </c>
      <c r="BK9" s="5">
        <v>3</v>
      </c>
    </row>
    <row r="10" spans="1:87" x14ac:dyDescent="0.2">
      <c r="A10" s="5">
        <v>4</v>
      </c>
      <c r="C10" s="1">
        <v>4</v>
      </c>
      <c r="D10" s="1">
        <v>4</v>
      </c>
      <c r="E10" s="8">
        <v>1889</v>
      </c>
      <c r="F10" s="8">
        <v>1945</v>
      </c>
      <c r="G10" s="7" t="s">
        <v>70</v>
      </c>
      <c r="H10" s="2"/>
      <c r="I10" s="23">
        <v>1889</v>
      </c>
      <c r="J10" s="23"/>
      <c r="K10" s="12">
        <v>11456</v>
      </c>
      <c r="L10" s="12">
        <v>37422</v>
      </c>
      <c r="M10" s="12">
        <f>K10+L10</f>
        <v>48878</v>
      </c>
      <c r="N10" s="13">
        <f>M10/I10</f>
        <v>25.875066172578084</v>
      </c>
      <c r="P10" s="12">
        <v>21281</v>
      </c>
      <c r="Q10" s="11" t="s">
        <v>8</v>
      </c>
      <c r="R10" s="13">
        <f>P10/I10</f>
        <v>11.265749073583907</v>
      </c>
      <c r="S10" s="12">
        <f>P10*9.769</f>
        <v>207894.08900000001</v>
      </c>
      <c r="T10" s="13">
        <f>S10/I10</f>
        <v>110.05510269984119</v>
      </c>
      <c r="V10" s="13">
        <f>N10+T10</f>
        <v>135.93016887241927</v>
      </c>
      <c r="X10" s="34">
        <f>(V10-AM10)/V10</f>
        <v>-0.1500052756902252</v>
      </c>
      <c r="Z10" s="11">
        <v>1889</v>
      </c>
      <c r="AB10" s="12">
        <v>11259</v>
      </c>
      <c r="AC10" s="12">
        <v>34403</v>
      </c>
      <c r="AD10" s="12">
        <f t="shared" si="0"/>
        <v>45662</v>
      </c>
      <c r="AE10" s="13">
        <f t="shared" si="1"/>
        <v>24.17257808364214</v>
      </c>
      <c r="AG10" s="12">
        <v>25553</v>
      </c>
      <c r="AH10" s="11" t="s">
        <v>8</v>
      </c>
      <c r="AI10" s="13">
        <f t="shared" si="2"/>
        <v>13.52726310217046</v>
      </c>
      <c r="AJ10" s="12">
        <f>AG10*9.769</f>
        <v>249627.25700000001</v>
      </c>
      <c r="AK10" s="13">
        <f t="shared" si="3"/>
        <v>132.14783324510324</v>
      </c>
      <c r="AM10" s="13">
        <f t="shared" si="4"/>
        <v>156.32041132874539</v>
      </c>
      <c r="AO10" s="34">
        <f t="shared" si="5"/>
        <v>0.80808648246895076</v>
      </c>
      <c r="AQ10" s="36">
        <f>Z10</f>
        <v>1889</v>
      </c>
      <c r="AR10" s="36"/>
      <c r="AS10" s="35"/>
      <c r="AT10" s="35"/>
      <c r="AU10" s="35">
        <f>AQ10*AV10</f>
        <v>56670</v>
      </c>
      <c r="AV10" s="37">
        <v>30</v>
      </c>
      <c r="AW10" s="36"/>
      <c r="AX10" s="36"/>
      <c r="AY10" s="36" t="s">
        <v>72</v>
      </c>
      <c r="AZ10" s="36"/>
      <c r="BA10" s="36"/>
      <c r="BB10" s="36"/>
      <c r="BC10" s="36"/>
      <c r="BD10" s="37">
        <f>AV10+BB10</f>
        <v>30</v>
      </c>
      <c r="BF10" s="65" t="s">
        <v>34</v>
      </c>
      <c r="BG10" s="5"/>
      <c r="BH10" s="5"/>
      <c r="BI10" s="5"/>
      <c r="BK10" s="5">
        <v>4</v>
      </c>
    </row>
    <row r="11" spans="1:87" x14ac:dyDescent="0.2">
      <c r="A11" s="5">
        <v>5</v>
      </c>
      <c r="C11" s="2">
        <v>5</v>
      </c>
      <c r="D11" s="2">
        <v>5</v>
      </c>
      <c r="E11" s="8">
        <v>1160</v>
      </c>
      <c r="F11" s="8">
        <v>1982</v>
      </c>
      <c r="G11" s="7" t="s">
        <v>70</v>
      </c>
      <c r="H11" s="2"/>
      <c r="I11" s="30"/>
      <c r="J11" s="30"/>
      <c r="K11" s="29"/>
      <c r="L11" s="29"/>
      <c r="M11" s="29"/>
      <c r="N11" s="31"/>
      <c r="O11" s="32"/>
      <c r="P11" s="29"/>
      <c r="Q11" s="32"/>
      <c r="R11" s="31"/>
      <c r="S11" s="29"/>
      <c r="T11" s="31"/>
      <c r="U11" s="32"/>
      <c r="V11" s="31"/>
      <c r="X11" s="34"/>
      <c r="Z11" s="11">
        <v>1160</v>
      </c>
      <c r="AB11" s="12">
        <f>(7069/11)*12</f>
        <v>7711.636363636364</v>
      </c>
      <c r="AC11" s="12">
        <f>(19837/11)*12</f>
        <v>21640.363636363636</v>
      </c>
      <c r="AD11" s="12">
        <f t="shared" si="0"/>
        <v>29352</v>
      </c>
      <c r="AE11" s="13">
        <f t="shared" si="1"/>
        <v>25.30344827586207</v>
      </c>
      <c r="AG11" s="12">
        <v>306</v>
      </c>
      <c r="AH11" s="11" t="s">
        <v>17</v>
      </c>
      <c r="AI11" s="24">
        <f t="shared" si="2"/>
        <v>0.26379310344827589</v>
      </c>
      <c r="AJ11" s="12">
        <f>AG11*277.78</f>
        <v>85000.68</v>
      </c>
      <c r="AK11" s="13">
        <f t="shared" si="3"/>
        <v>73.276448275862066</v>
      </c>
      <c r="AM11" s="13">
        <f t="shared" si="4"/>
        <v>98.579896551724133</v>
      </c>
      <c r="AO11" s="34">
        <f t="shared" si="5"/>
        <v>1</v>
      </c>
      <c r="AQ11" s="56"/>
      <c r="AR11" s="56"/>
      <c r="AS11" s="51"/>
      <c r="AT11" s="51"/>
      <c r="AU11" s="51"/>
      <c r="AV11" s="57"/>
      <c r="AW11" s="56"/>
      <c r="AX11" s="51"/>
      <c r="AY11" s="56"/>
      <c r="AZ11" s="57"/>
      <c r="BA11" s="51"/>
      <c r="BB11" s="57"/>
      <c r="BC11" s="57"/>
      <c r="BD11" s="57">
        <f>AV11+BB11</f>
        <v>0</v>
      </c>
      <c r="BF11" s="65" t="s">
        <v>28</v>
      </c>
      <c r="BG11" s="5"/>
      <c r="BH11" s="5"/>
      <c r="BI11" s="5"/>
      <c r="BK11" s="5">
        <v>5</v>
      </c>
    </row>
    <row r="12" spans="1:87" x14ac:dyDescent="0.2">
      <c r="A12" s="5">
        <v>6</v>
      </c>
      <c r="C12" s="2">
        <v>6</v>
      </c>
      <c r="D12" s="2">
        <v>6</v>
      </c>
      <c r="E12" s="8">
        <v>1576</v>
      </c>
      <c r="F12" s="8">
        <v>1960</v>
      </c>
      <c r="G12" s="7" t="s">
        <v>70</v>
      </c>
      <c r="H12" s="2"/>
      <c r="I12" s="23">
        <v>1576</v>
      </c>
      <c r="J12" s="23"/>
      <c r="K12" s="12">
        <v>9582</v>
      </c>
      <c r="L12" s="12">
        <v>22386</v>
      </c>
      <c r="M12" s="12">
        <f>K12+L12</f>
        <v>31968</v>
      </c>
      <c r="N12" s="13">
        <f>M12/I12</f>
        <v>20.284263959390863</v>
      </c>
      <c r="P12" s="12">
        <v>23203</v>
      </c>
      <c r="Q12" s="11" t="s">
        <v>8</v>
      </c>
      <c r="R12" s="13">
        <f>P12/I12</f>
        <v>14.722715736040609</v>
      </c>
      <c r="S12" s="12">
        <f>P12*9.769</f>
        <v>226670.10699999999</v>
      </c>
      <c r="T12" s="13">
        <f>S12/I12</f>
        <v>143.8262100253807</v>
      </c>
      <c r="V12" s="13">
        <f>N12+T12</f>
        <v>164.11047398477157</v>
      </c>
      <c r="X12" s="34">
        <f>(V12-AM12)/V12</f>
        <v>-0.28854700440565778</v>
      </c>
      <c r="Z12" s="11">
        <v>1576</v>
      </c>
      <c r="AB12" s="12">
        <v>10253</v>
      </c>
      <c r="AC12" s="12">
        <v>22305</v>
      </c>
      <c r="AD12" s="12">
        <f t="shared" si="0"/>
        <v>32558</v>
      </c>
      <c r="AE12" s="13">
        <f t="shared" si="1"/>
        <v>20.658629441624367</v>
      </c>
      <c r="AG12" s="12">
        <f>7078+23704</f>
        <v>30782</v>
      </c>
      <c r="AH12" s="11" t="s">
        <v>8</v>
      </c>
      <c r="AI12" s="13">
        <f t="shared" si="2"/>
        <v>19.531725888324875</v>
      </c>
      <c r="AJ12" s="12">
        <f>AG12*9.769</f>
        <v>300709.35800000001</v>
      </c>
      <c r="AK12" s="13">
        <f t="shared" si="3"/>
        <v>190.80543020304569</v>
      </c>
      <c r="AM12" s="13">
        <f t="shared" si="4"/>
        <v>211.46405964467004</v>
      </c>
      <c r="AO12" s="34">
        <f t="shared" si="5"/>
        <v>0.85813192061852028</v>
      </c>
      <c r="AQ12" s="36">
        <f>Z12</f>
        <v>1576</v>
      </c>
      <c r="AR12" s="36"/>
      <c r="AS12" s="35"/>
      <c r="AT12" s="35"/>
      <c r="AU12" s="35">
        <f>AQ12*AV12</f>
        <v>0</v>
      </c>
      <c r="AV12" s="37">
        <v>0</v>
      </c>
      <c r="AW12" s="36"/>
      <c r="AX12" s="36"/>
      <c r="AY12" s="36" t="s">
        <v>72</v>
      </c>
      <c r="AZ12" s="36"/>
      <c r="BA12" s="36"/>
      <c r="BB12" s="36"/>
      <c r="BC12" s="36"/>
      <c r="BD12" s="37">
        <v>30</v>
      </c>
      <c r="BF12" s="65" t="s">
        <v>69</v>
      </c>
      <c r="BG12" s="5"/>
      <c r="BH12" s="5"/>
      <c r="BI12" s="5"/>
      <c r="BK12" s="5">
        <v>6</v>
      </c>
    </row>
    <row r="13" spans="1:87" x14ac:dyDescent="0.2">
      <c r="A13" s="5">
        <v>7</v>
      </c>
      <c r="C13" s="1">
        <v>7</v>
      </c>
      <c r="D13" s="1">
        <v>7</v>
      </c>
      <c r="E13" s="8">
        <v>1154</v>
      </c>
      <c r="F13" s="8">
        <v>1976</v>
      </c>
      <c r="G13" s="7" t="s">
        <v>70</v>
      </c>
      <c r="H13" s="2"/>
      <c r="I13" s="30"/>
      <c r="J13" s="30"/>
      <c r="K13" s="29"/>
      <c r="L13" s="29"/>
      <c r="M13" s="29"/>
      <c r="N13" s="31"/>
      <c r="O13" s="32"/>
      <c r="P13" s="33"/>
      <c r="Q13" s="32"/>
      <c r="R13" s="31"/>
      <c r="S13" s="29"/>
      <c r="T13" s="31"/>
      <c r="U13" s="32"/>
      <c r="V13" s="31"/>
      <c r="X13" s="34"/>
      <c r="Z13" s="45"/>
      <c r="AA13" s="45"/>
      <c r="AB13" s="46"/>
      <c r="AC13" s="46"/>
      <c r="AD13" s="46"/>
      <c r="AE13" s="47"/>
      <c r="AF13" s="45"/>
      <c r="AG13" s="46"/>
      <c r="AH13" s="45"/>
      <c r="AI13" s="45"/>
      <c r="AJ13" s="45"/>
      <c r="AK13" s="45"/>
      <c r="AL13" s="45"/>
      <c r="AM13" s="45"/>
      <c r="AO13" s="34"/>
      <c r="AQ13" s="32"/>
      <c r="AR13" s="32"/>
      <c r="AS13" s="29"/>
      <c r="AT13" s="29"/>
      <c r="AU13" s="29"/>
      <c r="AV13" s="54"/>
      <c r="AW13" s="32"/>
      <c r="AX13" s="29"/>
      <c r="AY13" s="32"/>
      <c r="AZ13" s="54"/>
      <c r="BA13" s="29"/>
      <c r="BB13" s="54"/>
      <c r="BC13" s="54"/>
      <c r="BD13" s="54">
        <f t="shared" ref="BD13:BD29" si="8">AV13+BB13</f>
        <v>0</v>
      </c>
      <c r="BF13" s="65" t="s">
        <v>67</v>
      </c>
      <c r="BG13" s="5"/>
      <c r="BH13" s="5"/>
      <c r="BI13" s="5"/>
      <c r="BK13" s="5">
        <v>7</v>
      </c>
    </row>
    <row r="14" spans="1:87" x14ac:dyDescent="0.2">
      <c r="A14" s="5">
        <v>8</v>
      </c>
      <c r="C14" s="2">
        <v>8</v>
      </c>
      <c r="D14" s="2">
        <v>8</v>
      </c>
      <c r="E14" s="8">
        <v>3313</v>
      </c>
      <c r="F14" s="8">
        <v>1952</v>
      </c>
      <c r="G14" s="7" t="s">
        <v>70</v>
      </c>
      <c r="H14" s="2"/>
      <c r="I14" s="23">
        <v>3313</v>
      </c>
      <c r="J14" s="23"/>
      <c r="K14" s="12">
        <v>18774</v>
      </c>
      <c r="L14" s="12">
        <v>42584</v>
      </c>
      <c r="M14" s="12">
        <f t="shared" ref="M14:M20" si="9">K14+L14</f>
        <v>61358</v>
      </c>
      <c r="N14" s="13">
        <f>M14/I14</f>
        <v>18.520374283127076</v>
      </c>
      <c r="P14" s="12">
        <v>41520</v>
      </c>
      <c r="Q14" s="11" t="s">
        <v>8</v>
      </c>
      <c r="R14" s="13">
        <f>P14/I14</f>
        <v>12.532447932387564</v>
      </c>
      <c r="S14" s="12">
        <f>P14*9.769</f>
        <v>405608.88</v>
      </c>
      <c r="T14" s="13">
        <f>S14/I14</f>
        <v>122.42948385149411</v>
      </c>
      <c r="V14" s="13">
        <f>N14+T14</f>
        <v>140.94985813462119</v>
      </c>
      <c r="X14" s="34">
        <f>(V14-AM14)/V14</f>
        <v>-2.9920708723495874E-3</v>
      </c>
      <c r="Z14" s="11">
        <v>3313</v>
      </c>
      <c r="AB14" s="12">
        <v>18549</v>
      </c>
      <c r="AC14" s="12">
        <v>42819</v>
      </c>
      <c r="AD14" s="12">
        <f t="shared" ref="AD14:AD37" si="10">AB14+AC14</f>
        <v>61368</v>
      </c>
      <c r="AE14" s="13">
        <f>AD14/Z14</f>
        <v>18.523392695442197</v>
      </c>
      <c r="AG14" s="12">
        <v>41662</v>
      </c>
      <c r="AH14" s="11" t="s">
        <v>8</v>
      </c>
      <c r="AI14" s="13">
        <f>AG14/Z14</f>
        <v>12.575309387262299</v>
      </c>
      <c r="AJ14" s="12">
        <f>AG14*9.769</f>
        <v>406996.07799999998</v>
      </c>
      <c r="AK14" s="13">
        <f>AJ14/Z14</f>
        <v>122.8481974041654</v>
      </c>
      <c r="AM14" s="13">
        <f>AE14+AK14</f>
        <v>141.3715900996076</v>
      </c>
      <c r="AO14" s="34">
        <f>(AM14-BD14)/AM14</f>
        <v>0.28161031064384912</v>
      </c>
      <c r="AQ14" s="11">
        <f>Z14</f>
        <v>3313</v>
      </c>
      <c r="AS14" s="12">
        <f t="shared" ref="AS14:AU15" si="11">AB14</f>
        <v>18549</v>
      </c>
      <c r="AT14" s="12">
        <f t="shared" si="11"/>
        <v>42819</v>
      </c>
      <c r="AU14" s="12">
        <f t="shared" si="11"/>
        <v>61368</v>
      </c>
      <c r="AV14" s="53">
        <f>AU14/AQ14</f>
        <v>18.523392695442197</v>
      </c>
      <c r="AX14" s="12">
        <f>AQ14*AZ14</f>
        <v>28160.5</v>
      </c>
      <c r="AY14" s="11" t="str">
        <f t="shared" ref="AX14:BB15" si="12">AH14</f>
        <v>m3</v>
      </c>
      <c r="AZ14" s="59">
        <v>8.5</v>
      </c>
      <c r="BA14" s="12">
        <f>AX14*9.769</f>
        <v>275099.92450000002</v>
      </c>
      <c r="BB14" s="53">
        <f>BA14/AQ14</f>
        <v>83.036500000000004</v>
      </c>
      <c r="BC14" s="53"/>
      <c r="BD14" s="53">
        <f t="shared" si="8"/>
        <v>101.5598926954422</v>
      </c>
      <c r="BF14" s="65" t="s">
        <v>74</v>
      </c>
      <c r="BG14" s="10">
        <v>2029</v>
      </c>
      <c r="BH14" s="10">
        <v>2029</v>
      </c>
      <c r="BI14" s="10">
        <v>2029</v>
      </c>
      <c r="BK14" s="5">
        <v>8</v>
      </c>
    </row>
    <row r="15" spans="1:87" x14ac:dyDescent="0.2">
      <c r="A15" s="5">
        <v>9</v>
      </c>
      <c r="C15" s="2">
        <v>9</v>
      </c>
      <c r="D15" s="2">
        <v>9</v>
      </c>
      <c r="E15" s="8">
        <v>904</v>
      </c>
      <c r="F15" s="8">
        <v>2010</v>
      </c>
      <c r="G15" s="7" t="s">
        <v>70</v>
      </c>
      <c r="H15" s="2"/>
      <c r="I15" s="23">
        <v>904</v>
      </c>
      <c r="J15" s="23"/>
      <c r="K15" s="12">
        <v>11080</v>
      </c>
      <c r="L15" s="12">
        <v>26129</v>
      </c>
      <c r="M15" s="12">
        <f t="shared" si="9"/>
        <v>37209</v>
      </c>
      <c r="N15" s="13">
        <f>M15/I15</f>
        <v>41.160398230088497</v>
      </c>
      <c r="P15" s="12">
        <v>11386</v>
      </c>
      <c r="Q15" s="11" t="s">
        <v>8</v>
      </c>
      <c r="R15" s="13">
        <f>P15/I15</f>
        <v>12.595132743362832</v>
      </c>
      <c r="S15" s="12">
        <f>P15*9.769</f>
        <v>111229.834</v>
      </c>
      <c r="T15" s="13">
        <f>S15/I15</f>
        <v>123.0418517699115</v>
      </c>
      <c r="V15" s="13">
        <f>N15+T15</f>
        <v>164.20224999999999</v>
      </c>
      <c r="X15" s="34">
        <f>(V15-AM15)/V15</f>
        <v>-0.26266591396157157</v>
      </c>
      <c r="Z15" s="11">
        <v>904</v>
      </c>
      <c r="AB15" s="12">
        <v>15219</v>
      </c>
      <c r="AC15" s="12">
        <v>27394</v>
      </c>
      <c r="AD15" s="12">
        <f t="shared" si="10"/>
        <v>42613</v>
      </c>
      <c r="AE15" s="13">
        <f>AD15/Z15</f>
        <v>47.138274336283189</v>
      </c>
      <c r="AG15" s="12">
        <v>14824</v>
      </c>
      <c r="AH15" s="11" t="s">
        <v>8</v>
      </c>
      <c r="AI15" s="13">
        <f>AG15/Z15</f>
        <v>16.398230088495577</v>
      </c>
      <c r="AJ15" s="12">
        <f>AG15*9.769</f>
        <v>144815.65599999999</v>
      </c>
      <c r="AK15" s="13">
        <f>AJ15/Z15</f>
        <v>160.19430973451327</v>
      </c>
      <c r="AM15" s="13">
        <f>AE15+AK15</f>
        <v>207.33258407079646</v>
      </c>
      <c r="AO15" s="34">
        <f>(AM15-BD15)/AM15</f>
        <v>0.37214512171500608</v>
      </c>
      <c r="AQ15" s="11">
        <f>Z15</f>
        <v>904</v>
      </c>
      <c r="AS15" s="12">
        <f t="shared" si="11"/>
        <v>15219</v>
      </c>
      <c r="AT15" s="12">
        <f t="shared" si="11"/>
        <v>27394</v>
      </c>
      <c r="AU15" s="12">
        <f t="shared" si="11"/>
        <v>42613</v>
      </c>
      <c r="AV15" s="53">
        <f>AU15/AQ15</f>
        <v>47.138274336283189</v>
      </c>
      <c r="AX15" s="12">
        <f>AQ15*AZ15</f>
        <v>7684</v>
      </c>
      <c r="AY15" s="11" t="str">
        <f t="shared" si="12"/>
        <v>m3</v>
      </c>
      <c r="AZ15" s="59">
        <v>8.5</v>
      </c>
      <c r="BA15" s="12">
        <f>AX15*9.769</f>
        <v>75064.995999999999</v>
      </c>
      <c r="BB15" s="53">
        <f>BA15/AQ15</f>
        <v>83.036500000000004</v>
      </c>
      <c r="BC15" s="53"/>
      <c r="BD15" s="53">
        <f t="shared" si="8"/>
        <v>130.17477433628318</v>
      </c>
      <c r="BG15" s="10">
        <v>2029</v>
      </c>
      <c r="BH15" s="10">
        <v>2029</v>
      </c>
      <c r="BI15" s="10">
        <v>2029</v>
      </c>
      <c r="BK15" s="5">
        <v>9</v>
      </c>
    </row>
    <row r="16" spans="1:87" x14ac:dyDescent="0.2">
      <c r="A16" s="5">
        <v>10</v>
      </c>
      <c r="C16" s="1">
        <v>10</v>
      </c>
      <c r="D16" s="1">
        <v>10</v>
      </c>
      <c r="E16" s="8">
        <f>1914+200</f>
        <v>2114</v>
      </c>
      <c r="F16" s="8">
        <v>1935</v>
      </c>
      <c r="G16" s="7" t="s">
        <v>70</v>
      </c>
      <c r="H16" s="2"/>
      <c r="I16" s="23">
        <v>2114</v>
      </c>
      <c r="J16" s="23"/>
      <c r="K16" s="12">
        <f>16919+3315</f>
        <v>20234</v>
      </c>
      <c r="L16" s="12">
        <f>41990+3250</f>
        <v>45240</v>
      </c>
      <c r="M16" s="12">
        <f t="shared" si="9"/>
        <v>65474</v>
      </c>
      <c r="N16" s="13">
        <f>M16/I16</f>
        <v>30.971617786187323</v>
      </c>
      <c r="P16" s="12">
        <v>25684</v>
      </c>
      <c r="Q16" s="11" t="s">
        <v>8</v>
      </c>
      <c r="R16" s="13">
        <f>P16/I16</f>
        <v>12.149479659413434</v>
      </c>
      <c r="S16" s="12">
        <f>P16*9.769</f>
        <v>250906.99600000001</v>
      </c>
      <c r="T16" s="13">
        <f>S16/I16</f>
        <v>118.68826679280984</v>
      </c>
      <c r="V16" s="13">
        <f>N16+T16</f>
        <v>149.65988457899715</v>
      </c>
      <c r="X16" s="34">
        <f>(V16-AM16)/V16</f>
        <v>9.7965982128711729E-2</v>
      </c>
      <c r="Z16" s="11">
        <v>2114</v>
      </c>
      <c r="AB16" s="12">
        <f>2702+17076</f>
        <v>19778</v>
      </c>
      <c r="AC16" s="12">
        <f>2767+42951</f>
        <v>45718</v>
      </c>
      <c r="AD16" s="12">
        <f t="shared" si="10"/>
        <v>65496</v>
      </c>
      <c r="AE16" s="13">
        <f>AD16/Z16</f>
        <v>30.982024597918638</v>
      </c>
      <c r="AG16" s="12">
        <f>22509</f>
        <v>22509</v>
      </c>
      <c r="AH16" s="11" t="s">
        <v>8</v>
      </c>
      <c r="AI16" s="13">
        <f>AG16/Z16</f>
        <v>10.647587511825922</v>
      </c>
      <c r="AJ16" s="12">
        <f>AG16*9.769</f>
        <v>219890.421</v>
      </c>
      <c r="AK16" s="13">
        <f>AJ16/Z16</f>
        <v>104.01628240302743</v>
      </c>
      <c r="AM16" s="13">
        <f>AE16+AK16</f>
        <v>134.99830700094606</v>
      </c>
      <c r="AO16" s="34">
        <f>(AM16-BD16)/AM16</f>
        <v>0.77777499091310998</v>
      </c>
      <c r="AQ16" s="36">
        <f>Z16</f>
        <v>2114</v>
      </c>
      <c r="AR16" s="36"/>
      <c r="AS16" s="35"/>
      <c r="AT16" s="35"/>
      <c r="AU16" s="35">
        <f>AQ16*AV16</f>
        <v>63420</v>
      </c>
      <c r="AV16" s="37">
        <v>30</v>
      </c>
      <c r="AW16" s="36"/>
      <c r="AX16" s="36"/>
      <c r="AY16" s="36" t="s">
        <v>72</v>
      </c>
      <c r="AZ16" s="36"/>
      <c r="BA16" s="36"/>
      <c r="BB16" s="36"/>
      <c r="BC16" s="36"/>
      <c r="BD16" s="37">
        <f t="shared" si="8"/>
        <v>30</v>
      </c>
      <c r="BF16" s="65" t="s">
        <v>35</v>
      </c>
      <c r="BG16" s="5"/>
      <c r="BH16" s="5"/>
      <c r="BI16" s="5"/>
      <c r="BK16" s="5">
        <v>10</v>
      </c>
    </row>
    <row r="17" spans="1:63" x14ac:dyDescent="0.2">
      <c r="A17" s="5">
        <v>11</v>
      </c>
      <c r="C17" s="2">
        <v>11</v>
      </c>
      <c r="D17" s="2">
        <v>11</v>
      </c>
      <c r="E17" s="8">
        <v>1608</v>
      </c>
      <c r="F17" s="8">
        <v>1990</v>
      </c>
      <c r="G17" s="7" t="s">
        <v>70</v>
      </c>
      <c r="H17" s="2"/>
      <c r="I17" s="23">
        <v>1608</v>
      </c>
      <c r="J17" s="23"/>
      <c r="K17" s="12">
        <v>6397</v>
      </c>
      <c r="L17" s="12">
        <v>23945</v>
      </c>
      <c r="M17" s="12">
        <f t="shared" si="9"/>
        <v>30342</v>
      </c>
      <c r="N17" s="13">
        <f>M17/I17</f>
        <v>18.869402985074625</v>
      </c>
      <c r="P17" s="12">
        <v>10301</v>
      </c>
      <c r="Q17" s="11" t="s">
        <v>8</v>
      </c>
      <c r="R17" s="13">
        <f>P17/I17</f>
        <v>6.4060945273631837</v>
      </c>
      <c r="S17" s="12">
        <f>P17*9.769</f>
        <v>100630.469</v>
      </c>
      <c r="T17" s="13">
        <f>S17/I17</f>
        <v>62.581137437810945</v>
      </c>
      <c r="V17" s="13">
        <f>N17+T17</f>
        <v>81.450540422885567</v>
      </c>
      <c r="X17" s="34">
        <f>(V17-AM17)/V17</f>
        <v>-1.1274720643771306E-2</v>
      </c>
      <c r="Z17" s="11">
        <v>1608</v>
      </c>
      <c r="AB17" s="12">
        <v>6508</v>
      </c>
      <c r="AC17" s="12">
        <v>24705</v>
      </c>
      <c r="AD17" s="12">
        <f t="shared" si="10"/>
        <v>31213</v>
      </c>
      <c r="AE17" s="13">
        <f>AD17/Z17</f>
        <v>19.411069651741293</v>
      </c>
      <c r="AG17" s="12">
        <v>10363</v>
      </c>
      <c r="AH17" s="11" t="s">
        <v>8</v>
      </c>
      <c r="AI17" s="13">
        <f>AG17/Z17</f>
        <v>6.4446517412935327</v>
      </c>
      <c r="AJ17" s="12">
        <f>AG17*9.769</f>
        <v>101236.147</v>
      </c>
      <c r="AK17" s="13">
        <f>AJ17/Z17</f>
        <v>62.957802860696518</v>
      </c>
      <c r="AM17" s="13">
        <f>AE17+AK17</f>
        <v>82.368872512437804</v>
      </c>
      <c r="AO17" s="34">
        <f>(AM17-BD17)/AM17</f>
        <v>8.0796399541931171E-2</v>
      </c>
      <c r="AQ17" s="11">
        <f>Z17</f>
        <v>1608</v>
      </c>
      <c r="AS17" s="12">
        <f>AB17</f>
        <v>6508</v>
      </c>
      <c r="AT17" s="12">
        <f>AC17</f>
        <v>24705</v>
      </c>
      <c r="AU17" s="35">
        <f>AD17-10000</f>
        <v>21213</v>
      </c>
      <c r="AV17" s="59">
        <f>AU17/AQ17</f>
        <v>13.192164179104477</v>
      </c>
      <c r="AX17" s="12">
        <f>AQ17*AZ17</f>
        <v>10291.200000000001</v>
      </c>
      <c r="AY17" s="11" t="str">
        <f t="shared" ref="AX17:BB18" si="13">AH17</f>
        <v>m3</v>
      </c>
      <c r="AZ17" s="73">
        <v>6.4</v>
      </c>
      <c r="BA17" s="12">
        <f>AX17*9.769</f>
        <v>100534.73280000001</v>
      </c>
      <c r="BB17" s="53">
        <f>BA17/AQ17</f>
        <v>62.521600000000007</v>
      </c>
      <c r="BC17" s="53"/>
      <c r="BD17" s="53">
        <f t="shared" si="8"/>
        <v>75.713764179104487</v>
      </c>
      <c r="BF17" s="65" t="s">
        <v>29</v>
      </c>
      <c r="BH17" s="60" t="s">
        <v>68</v>
      </c>
      <c r="BI17" s="60" t="s">
        <v>9</v>
      </c>
      <c r="BK17" s="5">
        <v>11</v>
      </c>
    </row>
    <row r="18" spans="1:63" x14ac:dyDescent="0.2">
      <c r="A18" s="5">
        <v>12</v>
      </c>
      <c r="C18" s="2">
        <v>12</v>
      </c>
      <c r="D18" s="2">
        <v>12</v>
      </c>
      <c r="E18" s="8">
        <v>4142</v>
      </c>
      <c r="F18" s="8">
        <v>2010</v>
      </c>
      <c r="G18" s="7" t="s">
        <v>70</v>
      </c>
      <c r="H18" s="2"/>
      <c r="I18" s="23">
        <v>4142</v>
      </c>
      <c r="J18" s="23"/>
      <c r="K18" s="12">
        <v>60474</v>
      </c>
      <c r="L18" s="12">
        <v>165799</v>
      </c>
      <c r="M18" s="12">
        <f t="shared" si="9"/>
        <v>226273</v>
      </c>
      <c r="N18" s="13">
        <f>M18/I18</f>
        <v>54.62892322549493</v>
      </c>
      <c r="P18" s="12">
        <v>784</v>
      </c>
      <c r="Q18" s="11" t="s">
        <v>17</v>
      </c>
      <c r="R18" s="24">
        <f>P18/I18</f>
        <v>0.18928054080154516</v>
      </c>
      <c r="S18" s="12">
        <f>P18*277.78</f>
        <v>217779.52</v>
      </c>
      <c r="T18" s="13">
        <f>S18/I18</f>
        <v>52.578348623853209</v>
      </c>
      <c r="V18" s="13">
        <f>N18+T18</f>
        <v>107.20727184934813</v>
      </c>
      <c r="X18" s="34">
        <f>(V18-AM18)/V18</f>
        <v>6.0232559878277366E-2</v>
      </c>
      <c r="Z18" s="11">
        <v>4142</v>
      </c>
      <c r="AB18" s="12">
        <v>73765</v>
      </c>
      <c r="AC18" s="12">
        <v>164373</v>
      </c>
      <c r="AD18" s="12">
        <f t="shared" si="10"/>
        <v>238138</v>
      </c>
      <c r="AE18" s="13">
        <f>AD18/Z18</f>
        <v>57.493481409946888</v>
      </c>
      <c r="AG18" s="12">
        <f>9284-8639</f>
        <v>645</v>
      </c>
      <c r="AH18" s="11" t="s">
        <v>17</v>
      </c>
      <c r="AI18" s="24">
        <f>AG18/Z18</f>
        <v>0.15572187349106711</v>
      </c>
      <c r="AJ18" s="12">
        <f>AG18*277.78</f>
        <v>179168.09999999998</v>
      </c>
      <c r="AK18" s="13">
        <f>AJ18/Z18</f>
        <v>43.256422018348616</v>
      </c>
      <c r="AM18" s="13">
        <f>AE18+AK18</f>
        <v>100.74990342829551</v>
      </c>
      <c r="AO18" s="34">
        <f>(AM18-BD18)/AM18</f>
        <v>0</v>
      </c>
      <c r="AQ18" s="11">
        <f>Z18</f>
        <v>4142</v>
      </c>
      <c r="AS18" s="12">
        <f>AB18</f>
        <v>73765</v>
      </c>
      <c r="AT18" s="12">
        <f>AC18</f>
        <v>164373</v>
      </c>
      <c r="AU18" s="12">
        <f>AD18</f>
        <v>238138</v>
      </c>
      <c r="AV18" s="53">
        <f>AU18/AQ18</f>
        <v>57.493481409946888</v>
      </c>
      <c r="AX18" s="12">
        <f t="shared" si="13"/>
        <v>645</v>
      </c>
      <c r="AY18" s="11" t="str">
        <f t="shared" si="13"/>
        <v>GJ</v>
      </c>
      <c r="AZ18" s="62">
        <f t="shared" si="13"/>
        <v>0.15572187349106711</v>
      </c>
      <c r="BA18" s="12">
        <f t="shared" si="13"/>
        <v>179168.09999999998</v>
      </c>
      <c r="BB18" s="53">
        <f t="shared" si="13"/>
        <v>43.256422018348616</v>
      </c>
      <c r="BC18" s="53"/>
      <c r="BD18" s="53">
        <f t="shared" si="8"/>
        <v>100.74990342829551</v>
      </c>
      <c r="BF18" s="65" t="s">
        <v>51</v>
      </c>
      <c r="BG18" s="5"/>
      <c r="BH18" s="5"/>
      <c r="BI18" s="5"/>
      <c r="BK18" s="5">
        <v>12</v>
      </c>
    </row>
    <row r="19" spans="1:63" x14ac:dyDescent="0.2">
      <c r="A19" s="5">
        <v>13</v>
      </c>
      <c r="C19" s="1">
        <v>13</v>
      </c>
      <c r="D19" s="1">
        <v>13</v>
      </c>
      <c r="E19" s="8">
        <v>2262</v>
      </c>
      <c r="F19" s="8">
        <v>1986</v>
      </c>
      <c r="G19" s="7" t="s">
        <v>70</v>
      </c>
      <c r="H19" s="2"/>
      <c r="I19" s="23">
        <v>2262</v>
      </c>
      <c r="J19" s="23"/>
      <c r="K19" s="12">
        <v>16240</v>
      </c>
      <c r="L19" s="12">
        <v>26024</v>
      </c>
      <c r="M19" s="12">
        <f t="shared" si="9"/>
        <v>42264</v>
      </c>
      <c r="N19" s="13">
        <f>M19/I19</f>
        <v>18.684350132625994</v>
      </c>
      <c r="P19" s="12">
        <v>21498</v>
      </c>
      <c r="Q19" s="11" t="s">
        <v>8</v>
      </c>
      <c r="R19" s="13">
        <f>P19/I19</f>
        <v>9.5039787798408479</v>
      </c>
      <c r="S19" s="12">
        <f>P19*9.769</f>
        <v>210013.962</v>
      </c>
      <c r="T19" s="13">
        <f>S19/I19</f>
        <v>92.84436870026525</v>
      </c>
      <c r="V19" s="13">
        <f>N19+T19</f>
        <v>111.52871883289124</v>
      </c>
      <c r="X19" s="34">
        <f>(V19-AM19)/V19</f>
        <v>1.434602519898256E-2</v>
      </c>
      <c r="Z19" s="11">
        <v>2262</v>
      </c>
      <c r="AB19" s="12">
        <v>14803</v>
      </c>
      <c r="AC19" s="12">
        <v>25737</v>
      </c>
      <c r="AD19" s="12">
        <f t="shared" si="10"/>
        <v>40540</v>
      </c>
      <c r="AE19" s="13">
        <f t="shared" ref="AE19:AE45" si="14">AD19/Z19</f>
        <v>17.922192749778958</v>
      </c>
      <c r="AG19" s="12">
        <v>21304</v>
      </c>
      <c r="AH19" s="11" t="s">
        <v>8</v>
      </c>
      <c r="AI19" s="13">
        <f t="shared" ref="AI19:AI45" si="15">AG19/Z19</f>
        <v>9.4182139699381082</v>
      </c>
      <c r="AJ19" s="12">
        <f t="shared" ref="AJ19:AJ38" si="16">AG19*9.769</f>
        <v>208118.77600000001</v>
      </c>
      <c r="AK19" s="13">
        <f t="shared" ref="AK19:AK45" si="17">AJ19/Z19</f>
        <v>92.006532272325387</v>
      </c>
      <c r="AM19" s="13">
        <f t="shared" ref="AM19:AM45" si="18">AE19+AK19</f>
        <v>109.92872502210435</v>
      </c>
      <c r="AO19" s="34">
        <f t="shared" ref="AO19:AO45" si="19">(AM19-BD19)/AM19</f>
        <v>0.72709589787412132</v>
      </c>
      <c r="AQ19" s="36">
        <f>Z19</f>
        <v>2262</v>
      </c>
      <c r="AR19" s="36"/>
      <c r="AS19" s="35"/>
      <c r="AT19" s="35"/>
      <c r="AU19" s="35">
        <f>AQ19*AV19</f>
        <v>67860</v>
      </c>
      <c r="AV19" s="37">
        <v>30</v>
      </c>
      <c r="AW19" s="36"/>
      <c r="AX19" s="36"/>
      <c r="AY19" s="36" t="s">
        <v>72</v>
      </c>
      <c r="AZ19" s="36"/>
      <c r="BA19" s="36"/>
      <c r="BB19" s="36"/>
      <c r="BC19" s="36"/>
      <c r="BD19" s="37">
        <f t="shared" si="8"/>
        <v>30</v>
      </c>
      <c r="BF19" s="65" t="s">
        <v>41</v>
      </c>
      <c r="BG19" s="5"/>
      <c r="BH19" s="5"/>
      <c r="BI19" s="5"/>
      <c r="BK19" s="5">
        <v>14</v>
      </c>
    </row>
    <row r="20" spans="1:63" x14ac:dyDescent="0.2">
      <c r="A20" s="5">
        <v>14</v>
      </c>
      <c r="C20" s="2">
        <v>14</v>
      </c>
      <c r="D20" s="2">
        <v>14</v>
      </c>
      <c r="E20" s="8">
        <v>1798</v>
      </c>
      <c r="F20" s="8">
        <v>1994</v>
      </c>
      <c r="G20" s="7" t="s">
        <v>70</v>
      </c>
      <c r="H20" s="2"/>
      <c r="I20" s="23">
        <v>1798</v>
      </c>
      <c r="J20" s="23"/>
      <c r="K20" s="12">
        <v>16354</v>
      </c>
      <c r="L20" s="12">
        <v>35276</v>
      </c>
      <c r="M20" s="12">
        <f t="shared" si="9"/>
        <v>51630</v>
      </c>
      <c r="N20" s="13">
        <f>M20/I20</f>
        <v>28.715239154616242</v>
      </c>
      <c r="P20" s="12">
        <v>12161</v>
      </c>
      <c r="Q20" s="11" t="s">
        <v>8</v>
      </c>
      <c r="R20" s="13">
        <f>P20/I20</f>
        <v>6.7636262513904342</v>
      </c>
      <c r="S20" s="12">
        <f>P20*9.769</f>
        <v>118800.80900000001</v>
      </c>
      <c r="T20" s="13">
        <f>S20/I20</f>
        <v>66.073864849833157</v>
      </c>
      <c r="V20" s="13">
        <f>N20+T20</f>
        <v>94.789104004449399</v>
      </c>
      <c r="X20" s="34">
        <f>(V20-AM20)/V20</f>
        <v>0.15925394686121574</v>
      </c>
      <c r="Z20" s="11">
        <v>1798</v>
      </c>
      <c r="AB20" s="12">
        <v>13174</v>
      </c>
      <c r="AC20" s="12">
        <v>33695</v>
      </c>
      <c r="AD20" s="12">
        <f t="shared" si="10"/>
        <v>46869</v>
      </c>
      <c r="AE20" s="13">
        <f t="shared" si="14"/>
        <v>26.067296996662957</v>
      </c>
      <c r="AG20" s="12">
        <v>9870</v>
      </c>
      <c r="AH20" s="11" t="s">
        <v>8</v>
      </c>
      <c r="AI20" s="13">
        <f t="shared" si="15"/>
        <v>5.4894327030033372</v>
      </c>
      <c r="AJ20" s="12">
        <f t="shared" si="16"/>
        <v>96420.03</v>
      </c>
      <c r="AK20" s="13">
        <f t="shared" si="17"/>
        <v>53.626268075639601</v>
      </c>
      <c r="AM20" s="13">
        <f t="shared" si="18"/>
        <v>79.693565072302562</v>
      </c>
      <c r="AO20" s="34">
        <f t="shared" si="19"/>
        <v>-1.2953608521182711E-3</v>
      </c>
      <c r="AQ20" s="11">
        <f>Z20</f>
        <v>1798</v>
      </c>
      <c r="AS20" s="12">
        <f>AB20</f>
        <v>13174</v>
      </c>
      <c r="AT20" s="12">
        <f>AC20</f>
        <v>33695</v>
      </c>
      <c r="AU20" s="12">
        <f>AD20</f>
        <v>46869</v>
      </c>
      <c r="AV20" s="53">
        <f>AU20/AQ20</f>
        <v>26.067296996662957</v>
      </c>
      <c r="AX20" s="12">
        <f>AQ20*AZ20</f>
        <v>9889</v>
      </c>
      <c r="AY20" s="11" t="str">
        <f>AH20</f>
        <v>m3</v>
      </c>
      <c r="AZ20" s="73">
        <v>5.5</v>
      </c>
      <c r="BA20" s="12">
        <f>AX20*9.769</f>
        <v>96605.641000000003</v>
      </c>
      <c r="BB20" s="53">
        <f>BA20/AQ20</f>
        <v>53.729500000000002</v>
      </c>
      <c r="BC20" s="53"/>
      <c r="BD20" s="53">
        <f t="shared" si="8"/>
        <v>79.796796996662962</v>
      </c>
      <c r="BH20" s="60" t="s">
        <v>68</v>
      </c>
      <c r="BI20" s="60" t="s">
        <v>9</v>
      </c>
      <c r="BK20" s="5">
        <v>15</v>
      </c>
    </row>
    <row r="21" spans="1:63" x14ac:dyDescent="0.2">
      <c r="A21" s="5">
        <v>15</v>
      </c>
      <c r="C21" s="2">
        <v>15</v>
      </c>
      <c r="D21" s="2">
        <v>15</v>
      </c>
      <c r="E21" s="8">
        <v>1387</v>
      </c>
      <c r="F21" s="8">
        <v>1929</v>
      </c>
      <c r="G21" s="7" t="s">
        <v>70</v>
      </c>
      <c r="H21" s="2"/>
      <c r="I21" s="30"/>
      <c r="J21" s="30"/>
      <c r="K21" s="29"/>
      <c r="L21" s="29"/>
      <c r="M21" s="29"/>
      <c r="N21" s="31"/>
      <c r="O21" s="32"/>
      <c r="P21" s="29"/>
      <c r="Q21" s="32"/>
      <c r="R21" s="31"/>
      <c r="S21" s="29"/>
      <c r="T21" s="31"/>
      <c r="U21" s="32"/>
      <c r="V21" s="31"/>
      <c r="X21" s="34"/>
      <c r="Z21" s="11">
        <v>1387</v>
      </c>
      <c r="AB21" s="12">
        <f>(2529/4)*12</f>
        <v>7587</v>
      </c>
      <c r="AC21" s="12">
        <f>(11018/4)*12</f>
        <v>33054</v>
      </c>
      <c r="AD21" s="12">
        <f t="shared" si="10"/>
        <v>40641</v>
      </c>
      <c r="AE21" s="13">
        <f t="shared" si="14"/>
        <v>29.301369863013697</v>
      </c>
      <c r="AG21" s="12">
        <f>(5309/4)*12</f>
        <v>15927</v>
      </c>
      <c r="AH21" s="11" t="s">
        <v>8</v>
      </c>
      <c r="AI21" s="13">
        <f t="shared" si="15"/>
        <v>11.483056957462148</v>
      </c>
      <c r="AJ21" s="12">
        <f t="shared" si="16"/>
        <v>155590.86300000001</v>
      </c>
      <c r="AK21" s="13">
        <f t="shared" si="17"/>
        <v>112.17798341744773</v>
      </c>
      <c r="AM21" s="13">
        <f t="shared" si="18"/>
        <v>141.47935328046142</v>
      </c>
      <c r="AO21" s="34">
        <f t="shared" si="19"/>
        <v>1</v>
      </c>
      <c r="AQ21" s="56"/>
      <c r="AR21" s="56"/>
      <c r="AS21" s="51"/>
      <c r="AT21" s="51"/>
      <c r="AU21" s="51"/>
      <c r="AV21" s="57"/>
      <c r="AW21" s="56"/>
      <c r="AX21" s="51"/>
      <c r="AY21" s="56"/>
      <c r="AZ21" s="57"/>
      <c r="BA21" s="51"/>
      <c r="BB21" s="57"/>
      <c r="BC21" s="57"/>
      <c r="BD21" s="57">
        <f t="shared" si="8"/>
        <v>0</v>
      </c>
      <c r="BF21" s="65" t="s">
        <v>30</v>
      </c>
      <c r="BG21" s="5"/>
      <c r="BH21" s="5"/>
      <c r="BI21" s="5"/>
      <c r="BK21" s="5">
        <v>16</v>
      </c>
    </row>
    <row r="22" spans="1:63" x14ac:dyDescent="0.2">
      <c r="A22" s="5">
        <v>16</v>
      </c>
      <c r="C22" s="1">
        <v>16</v>
      </c>
      <c r="D22" s="1">
        <v>16</v>
      </c>
      <c r="E22" s="8">
        <v>1786</v>
      </c>
      <c r="F22" s="8">
        <v>1975</v>
      </c>
      <c r="G22" s="7" t="s">
        <v>70</v>
      </c>
      <c r="H22" s="2"/>
      <c r="I22" s="23">
        <v>1786</v>
      </c>
      <c r="J22" s="23"/>
      <c r="K22" s="12">
        <v>10853</v>
      </c>
      <c r="L22" s="12">
        <v>33441</v>
      </c>
      <c r="M22" s="12">
        <f t="shared" ref="M22:M37" si="20">K22+L22</f>
        <v>44294</v>
      </c>
      <c r="N22" s="13">
        <f t="shared" ref="N22:N37" si="21">M22/I22</f>
        <v>24.800671892497199</v>
      </c>
      <c r="P22" s="12">
        <v>19260</v>
      </c>
      <c r="Q22" s="11" t="s">
        <v>8</v>
      </c>
      <c r="R22" s="13">
        <f t="shared" ref="R22:R45" si="22">P22/I22</f>
        <v>10.78387458006719</v>
      </c>
      <c r="S22" s="12">
        <f t="shared" ref="S22:S38" si="23">P22*9.769</f>
        <v>188150.94</v>
      </c>
      <c r="T22" s="13">
        <f t="shared" ref="T22:T45" si="24">S22/I22</f>
        <v>105.34767077267637</v>
      </c>
      <c r="V22" s="13">
        <f t="shared" ref="V22:V45" si="25">N22+T22</f>
        <v>130.14834266517357</v>
      </c>
      <c r="X22" s="34">
        <f t="shared" ref="X22:X45" si="26">(V22-AM22)/V22</f>
        <v>2.9308579485533157E-2</v>
      </c>
      <c r="Z22" s="11">
        <v>1786</v>
      </c>
      <c r="AB22" s="43">
        <v>9942</v>
      </c>
      <c r="AC22" s="43">
        <v>33391</v>
      </c>
      <c r="AD22" s="12">
        <f t="shared" si="10"/>
        <v>43333</v>
      </c>
      <c r="AE22" s="13">
        <f t="shared" si="14"/>
        <v>24.262597984322507</v>
      </c>
      <c r="AG22" s="12">
        <v>18661</v>
      </c>
      <c r="AH22" s="11" t="s">
        <v>8</v>
      </c>
      <c r="AI22" s="13">
        <f t="shared" si="15"/>
        <v>10.448488241881298</v>
      </c>
      <c r="AJ22" s="12">
        <f t="shared" si="16"/>
        <v>182299.30900000001</v>
      </c>
      <c r="AK22" s="13">
        <f t="shared" si="17"/>
        <v>102.07128163493842</v>
      </c>
      <c r="AM22" s="13">
        <f t="shared" si="18"/>
        <v>126.33387961926093</v>
      </c>
      <c r="AO22" s="34">
        <f t="shared" si="19"/>
        <v>0.15067044321210221</v>
      </c>
      <c r="AQ22" s="11">
        <f t="shared" ref="AQ22:AQ29" si="27">Z22</f>
        <v>1786</v>
      </c>
      <c r="AS22" s="12">
        <f t="shared" ref="AS22:AU24" si="28">AB22</f>
        <v>9942</v>
      </c>
      <c r="AT22" s="12">
        <f t="shared" si="28"/>
        <v>33391</v>
      </c>
      <c r="AU22" s="12">
        <f t="shared" si="28"/>
        <v>43333</v>
      </c>
      <c r="AV22" s="53">
        <f>AU22/AQ22</f>
        <v>24.262597984322507</v>
      </c>
      <c r="AX22" s="12">
        <f>AQ22*AZ22</f>
        <v>15181</v>
      </c>
      <c r="AY22" s="11" t="str">
        <f t="shared" ref="AX22:BB24" si="29">AH22</f>
        <v>m3</v>
      </c>
      <c r="AZ22" s="59">
        <v>8.5</v>
      </c>
      <c r="BA22" s="12">
        <f>AX22*9.769</f>
        <v>148303.18900000001</v>
      </c>
      <c r="BB22" s="53">
        <f>BA22/AQ22</f>
        <v>83.036500000000004</v>
      </c>
      <c r="BC22" s="53"/>
      <c r="BD22" s="53">
        <f t="shared" si="8"/>
        <v>107.29909798432251</v>
      </c>
      <c r="BG22" s="10">
        <v>2029</v>
      </c>
      <c r="BH22" s="10">
        <v>2029</v>
      </c>
      <c r="BI22" s="10">
        <v>2029</v>
      </c>
      <c r="BK22" s="5">
        <v>17</v>
      </c>
    </row>
    <row r="23" spans="1:63" x14ac:dyDescent="0.2">
      <c r="A23" s="5">
        <v>17</v>
      </c>
      <c r="C23" s="2">
        <v>17</v>
      </c>
      <c r="D23" s="2">
        <v>17</v>
      </c>
      <c r="E23" s="8">
        <v>1234</v>
      </c>
      <c r="F23" s="8">
        <v>1982</v>
      </c>
      <c r="G23" s="7" t="s">
        <v>70</v>
      </c>
      <c r="H23" s="2"/>
      <c r="I23" s="23">
        <v>1234</v>
      </c>
      <c r="J23" s="23"/>
      <c r="K23" s="12">
        <v>10048</v>
      </c>
      <c r="L23" s="12">
        <v>31072</v>
      </c>
      <c r="M23" s="12">
        <f t="shared" si="20"/>
        <v>41120</v>
      </c>
      <c r="N23" s="13">
        <f t="shared" si="21"/>
        <v>33.322528363046999</v>
      </c>
      <c r="P23" s="12">
        <v>16777</v>
      </c>
      <c r="Q23" s="11" t="s">
        <v>8</v>
      </c>
      <c r="R23" s="13">
        <f t="shared" si="22"/>
        <v>13.595623987034037</v>
      </c>
      <c r="S23" s="12">
        <f t="shared" si="23"/>
        <v>163894.51300000001</v>
      </c>
      <c r="T23" s="13">
        <f t="shared" si="24"/>
        <v>132.81565072933549</v>
      </c>
      <c r="V23" s="13">
        <f t="shared" si="25"/>
        <v>166.13817909238247</v>
      </c>
      <c r="X23" s="34">
        <f t="shared" si="26"/>
        <v>-4.0334461590045443E-3</v>
      </c>
      <c r="Z23" s="11">
        <v>1234</v>
      </c>
      <c r="AB23" s="12">
        <v>10365</v>
      </c>
      <c r="AC23" s="12">
        <v>31240</v>
      </c>
      <c r="AD23" s="12">
        <f t="shared" si="10"/>
        <v>41605</v>
      </c>
      <c r="AE23" s="13">
        <f t="shared" si="14"/>
        <v>33.715559157212319</v>
      </c>
      <c r="AG23" s="12">
        <v>16812</v>
      </c>
      <c r="AH23" s="11" t="s">
        <v>8</v>
      </c>
      <c r="AI23" s="13">
        <f t="shared" si="15"/>
        <v>13.623987034035656</v>
      </c>
      <c r="AJ23" s="12">
        <f t="shared" si="16"/>
        <v>164236.42800000001</v>
      </c>
      <c r="AK23" s="13">
        <f t="shared" si="17"/>
        <v>133.09272933549434</v>
      </c>
      <c r="AM23" s="13">
        <f t="shared" si="18"/>
        <v>166.80828849270665</v>
      </c>
      <c r="AO23" s="34">
        <f t="shared" si="19"/>
        <v>0.30008238671954796</v>
      </c>
      <c r="AQ23" s="11">
        <f t="shared" si="27"/>
        <v>1234</v>
      </c>
      <c r="AS23" s="12">
        <f t="shared" si="28"/>
        <v>10365</v>
      </c>
      <c r="AT23" s="12">
        <f t="shared" si="28"/>
        <v>31240</v>
      </c>
      <c r="AU23" s="12">
        <f t="shared" si="28"/>
        <v>41605</v>
      </c>
      <c r="AV23" s="53">
        <f>AU23/AQ23</f>
        <v>33.715559157212319</v>
      </c>
      <c r="AX23" s="12">
        <f>AQ23*AZ23</f>
        <v>10489</v>
      </c>
      <c r="AY23" s="11" t="str">
        <f t="shared" si="29"/>
        <v>m3</v>
      </c>
      <c r="AZ23" s="59">
        <v>8.5</v>
      </c>
      <c r="BA23" s="12">
        <f>AX23*9.769</f>
        <v>102467.041</v>
      </c>
      <c r="BB23" s="53">
        <f>BA23/AQ23</f>
        <v>83.036500000000004</v>
      </c>
      <c r="BC23" s="53"/>
      <c r="BD23" s="53">
        <f t="shared" si="8"/>
        <v>116.75205915721233</v>
      </c>
      <c r="BG23" s="10">
        <v>2029</v>
      </c>
      <c r="BH23" s="10">
        <v>2029</v>
      </c>
      <c r="BI23" s="10">
        <v>2029</v>
      </c>
      <c r="BK23" s="5">
        <v>18</v>
      </c>
    </row>
    <row r="24" spans="1:63" x14ac:dyDescent="0.2">
      <c r="A24" s="5">
        <v>18</v>
      </c>
      <c r="C24" s="2">
        <v>18</v>
      </c>
      <c r="D24" s="2">
        <v>18</v>
      </c>
      <c r="E24" s="8">
        <v>1448</v>
      </c>
      <c r="F24" s="8">
        <v>2010</v>
      </c>
      <c r="G24" s="7" t="s">
        <v>70</v>
      </c>
      <c r="H24" s="2"/>
      <c r="I24" s="23">
        <v>1448</v>
      </c>
      <c r="J24" s="23"/>
      <c r="K24" s="12">
        <v>10997</v>
      </c>
      <c r="L24" s="12">
        <v>28234</v>
      </c>
      <c r="M24" s="12">
        <f t="shared" si="20"/>
        <v>39231</v>
      </c>
      <c r="N24" s="13">
        <f t="shared" si="21"/>
        <v>27.093232044198896</v>
      </c>
      <c r="P24" s="12">
        <f>3958+4852</f>
        <v>8810</v>
      </c>
      <c r="Q24" s="11" t="s">
        <v>8</v>
      </c>
      <c r="R24" s="13">
        <f t="shared" si="22"/>
        <v>6.084254143646409</v>
      </c>
      <c r="S24" s="12">
        <f t="shared" si="23"/>
        <v>86064.89</v>
      </c>
      <c r="T24" s="13">
        <f t="shared" si="24"/>
        <v>59.437078729281765</v>
      </c>
      <c r="V24" s="13">
        <f t="shared" si="25"/>
        <v>86.530310773480664</v>
      </c>
      <c r="X24" s="34">
        <f t="shared" si="26"/>
        <v>0.23830567786381504</v>
      </c>
      <c r="Z24" s="11">
        <v>1448</v>
      </c>
      <c r="AB24" s="12">
        <v>12303</v>
      </c>
      <c r="AC24" s="12">
        <v>31632</v>
      </c>
      <c r="AD24" s="12">
        <f t="shared" si="10"/>
        <v>43935</v>
      </c>
      <c r="AE24" s="13">
        <f t="shared" si="14"/>
        <v>30.341850828729282</v>
      </c>
      <c r="AG24" s="12">
        <v>5272</v>
      </c>
      <c r="AH24" s="11" t="s">
        <v>8</v>
      </c>
      <c r="AI24" s="13">
        <f t="shared" si="15"/>
        <v>3.6408839779005526</v>
      </c>
      <c r="AJ24" s="12">
        <f t="shared" si="16"/>
        <v>51502.167999999998</v>
      </c>
      <c r="AK24" s="13">
        <f t="shared" si="17"/>
        <v>35.567795580110499</v>
      </c>
      <c r="AM24" s="13">
        <f t="shared" si="18"/>
        <v>65.909646408839777</v>
      </c>
      <c r="AO24" s="34">
        <f t="shared" si="19"/>
        <v>0</v>
      </c>
      <c r="AQ24" s="11">
        <f t="shared" si="27"/>
        <v>1448</v>
      </c>
      <c r="AS24" s="12">
        <f t="shared" si="28"/>
        <v>12303</v>
      </c>
      <c r="AT24" s="12">
        <f t="shared" si="28"/>
        <v>31632</v>
      </c>
      <c r="AU24" s="12">
        <f t="shared" si="28"/>
        <v>43935</v>
      </c>
      <c r="AV24" s="53">
        <f>AU24/AQ24</f>
        <v>30.341850828729282</v>
      </c>
      <c r="AX24" s="12">
        <f>AQ24*AZ24</f>
        <v>5272</v>
      </c>
      <c r="AY24" s="11" t="str">
        <f t="shared" si="29"/>
        <v>m3</v>
      </c>
      <c r="AZ24" s="53">
        <f t="shared" si="29"/>
        <v>3.6408839779005526</v>
      </c>
      <c r="BA24" s="12">
        <f>AX24*9.769</f>
        <v>51502.167999999998</v>
      </c>
      <c r="BB24" s="53">
        <f>BA24/AQ24</f>
        <v>35.567795580110499</v>
      </c>
      <c r="BC24" s="53"/>
      <c r="BD24" s="53">
        <f t="shared" si="8"/>
        <v>65.909646408839777</v>
      </c>
      <c r="BH24" s="60" t="s">
        <v>68</v>
      </c>
      <c r="BI24" s="60" t="s">
        <v>9</v>
      </c>
      <c r="BK24" s="5">
        <v>19</v>
      </c>
    </row>
    <row r="25" spans="1:63" x14ac:dyDescent="0.2">
      <c r="A25" s="5">
        <v>19</v>
      </c>
      <c r="C25" s="1">
        <v>19</v>
      </c>
      <c r="D25" s="1">
        <v>19</v>
      </c>
      <c r="E25" s="8">
        <v>1181</v>
      </c>
      <c r="F25" s="8">
        <v>2002</v>
      </c>
      <c r="G25" s="7" t="s">
        <v>70</v>
      </c>
      <c r="H25" s="2"/>
      <c r="I25" s="23">
        <v>1181</v>
      </c>
      <c r="J25" s="23"/>
      <c r="K25" s="12">
        <f>12196+1579</f>
        <v>13775</v>
      </c>
      <c r="L25" s="12">
        <f>35480+4856</f>
        <v>40336</v>
      </c>
      <c r="M25" s="12">
        <f t="shared" si="20"/>
        <v>54111</v>
      </c>
      <c r="N25" s="13">
        <f t="shared" si="21"/>
        <v>45.817950889077053</v>
      </c>
      <c r="P25" s="12">
        <f>7255+7678</f>
        <v>14933</v>
      </c>
      <c r="Q25" s="11" t="s">
        <v>8</v>
      </c>
      <c r="R25" s="13">
        <f t="shared" si="22"/>
        <v>12.644369178662151</v>
      </c>
      <c r="S25" s="12">
        <f t="shared" si="23"/>
        <v>145880.47700000001</v>
      </c>
      <c r="T25" s="13">
        <f t="shared" si="24"/>
        <v>123.52284250635056</v>
      </c>
      <c r="V25" s="13">
        <f t="shared" si="25"/>
        <v>169.34079339542762</v>
      </c>
      <c r="X25" s="34">
        <f t="shared" si="26"/>
        <v>-4.7239993132307333E-2</v>
      </c>
      <c r="Z25" s="11">
        <v>1181</v>
      </c>
      <c r="AB25" s="12">
        <f>10959+3112</f>
        <v>14071</v>
      </c>
      <c r="AC25" s="12">
        <f>35533+3365</f>
        <v>38898</v>
      </c>
      <c r="AD25" s="12">
        <f t="shared" si="10"/>
        <v>52969</v>
      </c>
      <c r="AE25" s="13">
        <f t="shared" si="14"/>
        <v>44.850973751058426</v>
      </c>
      <c r="AG25" s="12">
        <f>4886+2584+5466+3081</f>
        <v>16017</v>
      </c>
      <c r="AH25" s="11" t="s">
        <v>8</v>
      </c>
      <c r="AI25" s="13">
        <f t="shared" si="15"/>
        <v>13.562235393734124</v>
      </c>
      <c r="AJ25" s="12">
        <f t="shared" si="16"/>
        <v>156470.073</v>
      </c>
      <c r="AK25" s="13">
        <f t="shared" si="17"/>
        <v>132.48947756138867</v>
      </c>
      <c r="AM25" s="13">
        <f t="shared" si="18"/>
        <v>177.3404513124471</v>
      </c>
      <c r="AO25" s="34">
        <f t="shared" si="19"/>
        <v>0.8308338578255644</v>
      </c>
      <c r="AQ25" s="36">
        <f t="shared" si="27"/>
        <v>1181</v>
      </c>
      <c r="AR25" s="36"/>
      <c r="AS25" s="35"/>
      <c r="AT25" s="35"/>
      <c r="AU25" s="35">
        <f>AQ25*AV25</f>
        <v>35430</v>
      </c>
      <c r="AV25" s="37">
        <v>30</v>
      </c>
      <c r="AW25" s="36"/>
      <c r="AX25" s="36"/>
      <c r="AY25" s="36" t="s">
        <v>72</v>
      </c>
      <c r="AZ25" s="36"/>
      <c r="BA25" s="36"/>
      <c r="BB25" s="36"/>
      <c r="BC25" s="36"/>
      <c r="BD25" s="37">
        <f t="shared" si="8"/>
        <v>30</v>
      </c>
      <c r="BF25" s="65" t="s">
        <v>35</v>
      </c>
      <c r="BG25" s="5"/>
      <c r="BH25" s="5"/>
      <c r="BI25" s="5"/>
      <c r="BK25" s="5">
        <v>20</v>
      </c>
    </row>
    <row r="26" spans="1:63" x14ac:dyDescent="0.2">
      <c r="A26" s="5">
        <v>20</v>
      </c>
      <c r="C26" s="2">
        <v>20</v>
      </c>
      <c r="D26" s="2">
        <v>20</v>
      </c>
      <c r="E26" s="8">
        <v>1722</v>
      </c>
      <c r="F26" s="8">
        <v>1964</v>
      </c>
      <c r="G26" s="7" t="s">
        <v>71</v>
      </c>
      <c r="H26" s="2"/>
      <c r="I26" s="23">
        <v>1722</v>
      </c>
      <c r="J26" s="23"/>
      <c r="K26" s="12">
        <v>11173</v>
      </c>
      <c r="L26" s="12">
        <v>24271</v>
      </c>
      <c r="M26" s="12">
        <f t="shared" si="20"/>
        <v>35444</v>
      </c>
      <c r="N26" s="13">
        <f t="shared" si="21"/>
        <v>20.583042973286876</v>
      </c>
      <c r="P26" s="12">
        <v>33758</v>
      </c>
      <c r="Q26" s="11" t="s">
        <v>8</v>
      </c>
      <c r="R26" s="13">
        <f t="shared" si="22"/>
        <v>19.603948896631824</v>
      </c>
      <c r="S26" s="12">
        <f t="shared" si="23"/>
        <v>329781.902</v>
      </c>
      <c r="T26" s="13">
        <f t="shared" si="24"/>
        <v>191.51097677119628</v>
      </c>
      <c r="V26" s="13">
        <f t="shared" si="25"/>
        <v>212.09401974448315</v>
      </c>
      <c r="X26" s="64">
        <f t="shared" si="26"/>
        <v>0.366668648818889</v>
      </c>
      <c r="Z26" s="11">
        <v>1722</v>
      </c>
      <c r="AB26" s="12">
        <v>9557</v>
      </c>
      <c r="AC26" s="12">
        <v>20452</v>
      </c>
      <c r="AD26" s="12">
        <f t="shared" si="10"/>
        <v>30009</v>
      </c>
      <c r="AE26" s="13">
        <f t="shared" si="14"/>
        <v>17.426829268292682</v>
      </c>
      <c r="AG26" s="12">
        <v>20606</v>
      </c>
      <c r="AH26" s="11" t="s">
        <v>8</v>
      </c>
      <c r="AI26" s="13">
        <f t="shared" si="15"/>
        <v>11.966318234610917</v>
      </c>
      <c r="AJ26" s="12">
        <f t="shared" si="16"/>
        <v>201300.014</v>
      </c>
      <c r="AK26" s="13">
        <f t="shared" si="17"/>
        <v>116.89896283391406</v>
      </c>
      <c r="AM26" s="13">
        <f t="shared" si="18"/>
        <v>134.32579210220675</v>
      </c>
      <c r="AO26" s="34">
        <f t="shared" si="19"/>
        <v>-2.4495456973415305E-3</v>
      </c>
      <c r="AQ26" s="11">
        <f t="shared" si="27"/>
        <v>1722</v>
      </c>
      <c r="AS26" s="12">
        <f t="shared" ref="AS26:AU28" si="30">AB26</f>
        <v>9557</v>
      </c>
      <c r="AT26" s="12">
        <f t="shared" si="30"/>
        <v>20452</v>
      </c>
      <c r="AU26" s="12">
        <f t="shared" si="30"/>
        <v>30009</v>
      </c>
      <c r="AV26" s="53">
        <f>AU26/AQ26</f>
        <v>17.426829268292682</v>
      </c>
      <c r="AX26" s="12">
        <f>AQ26*AZ26</f>
        <v>20664</v>
      </c>
      <c r="AY26" s="11" t="str">
        <f t="shared" ref="AX26:BB28" si="31">AH26</f>
        <v>m3</v>
      </c>
      <c r="AZ26" s="74">
        <v>12</v>
      </c>
      <c r="BA26" s="12">
        <f>AX26*9.769</f>
        <v>201866.61600000001</v>
      </c>
      <c r="BB26" s="53">
        <f>BA26/AQ26</f>
        <v>117.22800000000001</v>
      </c>
      <c r="BC26" s="53"/>
      <c r="BD26" s="53">
        <f t="shared" si="8"/>
        <v>134.6548292682927</v>
      </c>
      <c r="BG26" s="63">
        <v>2018</v>
      </c>
      <c r="BH26" s="63">
        <v>2018</v>
      </c>
      <c r="BI26" s="63">
        <v>2018</v>
      </c>
      <c r="BK26" s="5">
        <v>21</v>
      </c>
    </row>
    <row r="27" spans="1:63" x14ac:dyDescent="0.2">
      <c r="A27" s="5">
        <v>21</v>
      </c>
      <c r="C27" s="2">
        <v>21</v>
      </c>
      <c r="D27" s="2">
        <v>21</v>
      </c>
      <c r="E27" s="8">
        <v>526</v>
      </c>
      <c r="F27" s="8">
        <v>1967</v>
      </c>
      <c r="G27" s="7" t="s">
        <v>71</v>
      </c>
      <c r="H27" s="2"/>
      <c r="I27" s="23">
        <v>526</v>
      </c>
      <c r="J27" s="23"/>
      <c r="K27" s="12">
        <v>3701</v>
      </c>
      <c r="L27" s="12">
        <v>13475</v>
      </c>
      <c r="M27" s="12">
        <f t="shared" si="20"/>
        <v>17176</v>
      </c>
      <c r="N27" s="13">
        <f t="shared" si="21"/>
        <v>32.653992395437264</v>
      </c>
      <c r="P27" s="12">
        <v>14082</v>
      </c>
      <c r="Q27" s="11" t="s">
        <v>8</v>
      </c>
      <c r="R27" s="13">
        <f t="shared" si="22"/>
        <v>26.771863117870723</v>
      </c>
      <c r="S27" s="12">
        <f t="shared" si="23"/>
        <v>137567.05799999999</v>
      </c>
      <c r="T27" s="13">
        <f t="shared" si="24"/>
        <v>261.53433079847906</v>
      </c>
      <c r="V27" s="13">
        <f t="shared" si="25"/>
        <v>294.18832319391635</v>
      </c>
      <c r="X27" s="34">
        <f t="shared" si="26"/>
        <v>0.20322328126667888</v>
      </c>
      <c r="Z27" s="11">
        <v>526</v>
      </c>
      <c r="AB27" s="12">
        <v>3418</v>
      </c>
      <c r="AC27" s="12">
        <v>11305</v>
      </c>
      <c r="AD27" s="12">
        <f t="shared" si="10"/>
        <v>14723</v>
      </c>
      <c r="AE27" s="13">
        <f t="shared" si="14"/>
        <v>27.990494296577946</v>
      </c>
      <c r="AG27" s="12">
        <v>11114</v>
      </c>
      <c r="AH27" s="11" t="s">
        <v>8</v>
      </c>
      <c r="AI27" s="13">
        <f t="shared" si="15"/>
        <v>21.129277566539923</v>
      </c>
      <c r="AJ27" s="12">
        <f t="shared" si="16"/>
        <v>108572.666</v>
      </c>
      <c r="AK27" s="13">
        <f t="shared" si="17"/>
        <v>206.41191254752852</v>
      </c>
      <c r="AM27" s="13">
        <f t="shared" si="18"/>
        <v>234.40240684410645</v>
      </c>
      <c r="AO27" s="34">
        <f t="shared" si="19"/>
        <v>0.5263402121531181</v>
      </c>
      <c r="AQ27" s="11">
        <f t="shared" si="27"/>
        <v>526</v>
      </c>
      <c r="AS27" s="12">
        <f t="shared" si="30"/>
        <v>3418</v>
      </c>
      <c r="AT27" s="12">
        <f t="shared" si="30"/>
        <v>11305</v>
      </c>
      <c r="AU27" s="12">
        <f t="shared" si="30"/>
        <v>14723</v>
      </c>
      <c r="AV27" s="53">
        <f>AU27/AQ27</f>
        <v>27.990494296577946</v>
      </c>
      <c r="AX27" s="12">
        <f>AQ27*AZ27</f>
        <v>4471</v>
      </c>
      <c r="AY27" s="11" t="str">
        <f t="shared" si="31"/>
        <v>m3</v>
      </c>
      <c r="AZ27" s="59">
        <v>8.5</v>
      </c>
      <c r="BA27" s="12">
        <f>AX27*9.769</f>
        <v>43677.199000000001</v>
      </c>
      <c r="BB27" s="53">
        <f>BA27/AQ27</f>
        <v>83.036500000000004</v>
      </c>
      <c r="BC27" s="53"/>
      <c r="BD27" s="53">
        <f t="shared" si="8"/>
        <v>111.02699429657795</v>
      </c>
      <c r="BG27" s="10">
        <v>2029</v>
      </c>
      <c r="BH27" s="10">
        <v>2029</v>
      </c>
      <c r="BI27" s="10">
        <v>2029</v>
      </c>
      <c r="BK27" s="5">
        <v>22</v>
      </c>
    </row>
    <row r="28" spans="1:63" x14ac:dyDescent="0.2">
      <c r="A28" s="5">
        <v>22</v>
      </c>
      <c r="C28" s="1">
        <v>22</v>
      </c>
      <c r="D28" s="1">
        <v>22</v>
      </c>
      <c r="E28" s="8">
        <f>1057+200</f>
        <v>1257</v>
      </c>
      <c r="F28" s="8">
        <v>1928</v>
      </c>
      <c r="G28" s="7" t="s">
        <v>70</v>
      </c>
      <c r="H28" s="2"/>
      <c r="I28" s="23">
        <v>1257</v>
      </c>
      <c r="J28" s="23"/>
      <c r="K28" s="12">
        <f>139+16303</f>
        <v>16442</v>
      </c>
      <c r="L28" s="12">
        <f>2055+31904</f>
        <v>33959</v>
      </c>
      <c r="M28" s="12">
        <f t="shared" si="20"/>
        <v>50401</v>
      </c>
      <c r="N28" s="13">
        <f t="shared" si="21"/>
        <v>40.096260938743036</v>
      </c>
      <c r="P28" s="12">
        <v>28548</v>
      </c>
      <c r="Q28" s="11" t="s">
        <v>8</v>
      </c>
      <c r="R28" s="13">
        <f t="shared" si="22"/>
        <v>22.711217183770884</v>
      </c>
      <c r="S28" s="12">
        <f t="shared" si="23"/>
        <v>278885.41200000001</v>
      </c>
      <c r="T28" s="13">
        <f t="shared" si="24"/>
        <v>221.86588066825777</v>
      </c>
      <c r="V28" s="13">
        <f t="shared" si="25"/>
        <v>261.96214160700083</v>
      </c>
      <c r="X28" s="34">
        <f t="shared" si="26"/>
        <v>0.26557035703009829</v>
      </c>
      <c r="Z28" s="11">
        <v>1257</v>
      </c>
      <c r="AB28" s="12">
        <f>101+12547</f>
        <v>12648</v>
      </c>
      <c r="AC28" s="12">
        <f>2007+32213</f>
        <v>34220</v>
      </c>
      <c r="AD28" s="12">
        <f t="shared" si="10"/>
        <v>46868</v>
      </c>
      <c r="AE28" s="13">
        <f t="shared" si="14"/>
        <v>37.285600636435959</v>
      </c>
      <c r="AG28" s="12">
        <v>19958</v>
      </c>
      <c r="AH28" s="11" t="s">
        <v>8</v>
      </c>
      <c r="AI28" s="13">
        <f t="shared" si="15"/>
        <v>15.877486077963406</v>
      </c>
      <c r="AJ28" s="12">
        <f t="shared" si="16"/>
        <v>194969.70199999999</v>
      </c>
      <c r="AK28" s="13">
        <f t="shared" si="17"/>
        <v>155.1071614956245</v>
      </c>
      <c r="AM28" s="13">
        <f t="shared" si="18"/>
        <v>192.39276213206045</v>
      </c>
      <c r="AO28" s="34">
        <f t="shared" si="19"/>
        <v>0.37460172979976458</v>
      </c>
      <c r="AQ28" s="11">
        <f t="shared" si="27"/>
        <v>1257</v>
      </c>
      <c r="AS28" s="12">
        <f t="shared" si="30"/>
        <v>12648</v>
      </c>
      <c r="AT28" s="12">
        <f t="shared" si="30"/>
        <v>34220</v>
      </c>
      <c r="AU28" s="12">
        <f t="shared" si="30"/>
        <v>46868</v>
      </c>
      <c r="AV28" s="53">
        <f>AU28/AQ28</f>
        <v>37.285600636435959</v>
      </c>
      <c r="AX28" s="12">
        <f>AQ28*AZ28</f>
        <v>10684.5</v>
      </c>
      <c r="AY28" s="11" t="str">
        <f t="shared" si="31"/>
        <v>m3</v>
      </c>
      <c r="AZ28" s="59">
        <v>8.5</v>
      </c>
      <c r="BA28" s="12">
        <f>AX28*9.769</f>
        <v>104376.8805</v>
      </c>
      <c r="BB28" s="53">
        <f>BA28/AQ28</f>
        <v>83.036500000000004</v>
      </c>
      <c r="BC28" s="53"/>
      <c r="BD28" s="53">
        <f t="shared" si="8"/>
        <v>120.32210063643596</v>
      </c>
      <c r="BG28" s="10">
        <v>2029</v>
      </c>
      <c r="BH28" s="10">
        <v>2029</v>
      </c>
      <c r="BI28" s="10">
        <v>2029</v>
      </c>
      <c r="BK28" s="5">
        <v>23</v>
      </c>
    </row>
    <row r="29" spans="1:63" x14ac:dyDescent="0.2">
      <c r="A29" s="5">
        <v>23</v>
      </c>
      <c r="C29" s="2">
        <v>23</v>
      </c>
      <c r="D29" s="2">
        <v>23</v>
      </c>
      <c r="E29" s="8">
        <v>2020</v>
      </c>
      <c r="F29" s="8">
        <v>1960</v>
      </c>
      <c r="G29" s="7" t="s">
        <v>71</v>
      </c>
      <c r="H29" s="2"/>
      <c r="I29" s="23">
        <v>2020</v>
      </c>
      <c r="J29" s="23"/>
      <c r="K29" s="12">
        <v>13885</v>
      </c>
      <c r="L29" s="12">
        <v>41322</v>
      </c>
      <c r="M29" s="12">
        <f t="shared" si="20"/>
        <v>55207</v>
      </c>
      <c r="N29" s="13">
        <f t="shared" si="21"/>
        <v>27.33019801980198</v>
      </c>
      <c r="P29" s="12">
        <v>27018</v>
      </c>
      <c r="Q29" s="11" t="s">
        <v>8</v>
      </c>
      <c r="R29" s="13">
        <f t="shared" si="22"/>
        <v>13.375247524752476</v>
      </c>
      <c r="S29" s="12">
        <f t="shared" si="23"/>
        <v>263938.842</v>
      </c>
      <c r="T29" s="13">
        <f t="shared" si="24"/>
        <v>130.66279306930693</v>
      </c>
      <c r="V29" s="13">
        <f t="shared" si="25"/>
        <v>157.9929910891089</v>
      </c>
      <c r="X29" s="34">
        <f t="shared" si="26"/>
        <v>-0.11760958489943289</v>
      </c>
      <c r="Z29" s="11">
        <v>2020</v>
      </c>
      <c r="AB29" s="12">
        <v>15139</v>
      </c>
      <c r="AC29" s="12">
        <v>41555</v>
      </c>
      <c r="AD29" s="12">
        <f t="shared" si="10"/>
        <v>56694</v>
      </c>
      <c r="AE29" s="13">
        <f t="shared" si="14"/>
        <v>28.066336633663365</v>
      </c>
      <c r="AG29" s="12">
        <v>30708</v>
      </c>
      <c r="AH29" s="11" t="s">
        <v>8</v>
      </c>
      <c r="AI29" s="13">
        <f t="shared" si="15"/>
        <v>15.201980198019802</v>
      </c>
      <c r="AJ29" s="12">
        <f t="shared" si="16"/>
        <v>299986.45199999999</v>
      </c>
      <c r="AK29" s="13">
        <f t="shared" si="17"/>
        <v>148.50814455445544</v>
      </c>
      <c r="AM29" s="13">
        <f t="shared" si="18"/>
        <v>176.5744811881188</v>
      </c>
      <c r="AO29" s="34">
        <f t="shared" si="19"/>
        <v>0.83010002465736477</v>
      </c>
      <c r="AQ29" s="36">
        <f t="shared" si="27"/>
        <v>2020</v>
      </c>
      <c r="AR29" s="36"/>
      <c r="AS29" s="35"/>
      <c r="AT29" s="35"/>
      <c r="AU29" s="35">
        <f>AQ29*AV29</f>
        <v>60600</v>
      </c>
      <c r="AV29" s="37">
        <v>30</v>
      </c>
      <c r="AW29" s="36"/>
      <c r="AX29" s="36"/>
      <c r="AY29" s="36" t="s">
        <v>72</v>
      </c>
      <c r="AZ29" s="36"/>
      <c r="BA29" s="36"/>
      <c r="BB29" s="36"/>
      <c r="BC29" s="36"/>
      <c r="BD29" s="37">
        <f t="shared" si="8"/>
        <v>30</v>
      </c>
      <c r="BF29" s="65" t="s">
        <v>33</v>
      </c>
      <c r="BG29" s="5"/>
      <c r="BH29" s="5"/>
      <c r="BI29" s="5"/>
      <c r="BK29" s="5">
        <v>24</v>
      </c>
    </row>
    <row r="30" spans="1:63" x14ac:dyDescent="0.2">
      <c r="A30" s="5">
        <v>24</v>
      </c>
      <c r="C30" s="2">
        <v>24</v>
      </c>
      <c r="D30" s="2">
        <v>24</v>
      </c>
      <c r="E30" s="8">
        <v>1438</v>
      </c>
      <c r="F30" s="8">
        <v>1959</v>
      </c>
      <c r="G30" s="7" t="s">
        <v>70</v>
      </c>
      <c r="H30" s="2"/>
      <c r="I30" s="23">
        <v>1438</v>
      </c>
      <c r="J30" s="23"/>
      <c r="K30" s="12">
        <v>13031</v>
      </c>
      <c r="L30" s="12">
        <v>32136</v>
      </c>
      <c r="M30" s="12">
        <f t="shared" si="20"/>
        <v>45167</v>
      </c>
      <c r="N30" s="13">
        <f t="shared" si="21"/>
        <v>31.409596662030598</v>
      </c>
      <c r="P30" s="12">
        <f>5454+19814</f>
        <v>25268</v>
      </c>
      <c r="Q30" s="11" t="s">
        <v>8</v>
      </c>
      <c r="R30" s="13">
        <f t="shared" si="22"/>
        <v>17.571627260083449</v>
      </c>
      <c r="S30" s="12">
        <f t="shared" si="23"/>
        <v>246843.092</v>
      </c>
      <c r="T30" s="13">
        <f t="shared" si="24"/>
        <v>171.65722670375521</v>
      </c>
      <c r="V30" s="13">
        <f t="shared" si="25"/>
        <v>203.06682336578581</v>
      </c>
      <c r="X30" s="34">
        <f t="shared" si="26"/>
        <v>0.25630104934866421</v>
      </c>
      <c r="Z30" s="11">
        <v>1438</v>
      </c>
      <c r="AB30" s="12">
        <v>9225</v>
      </c>
      <c r="AC30" s="12">
        <v>21638</v>
      </c>
      <c r="AD30" s="12">
        <f t="shared" si="10"/>
        <v>30863</v>
      </c>
      <c r="AE30" s="13">
        <f t="shared" si="14"/>
        <v>21.462447844228095</v>
      </c>
      <c r="AG30" s="12">
        <f>10629+8442</f>
        <v>19071</v>
      </c>
      <c r="AH30" s="11" t="s">
        <v>8</v>
      </c>
      <c r="AI30" s="13">
        <f t="shared" si="15"/>
        <v>13.262169680111265</v>
      </c>
      <c r="AJ30" s="12">
        <f t="shared" si="16"/>
        <v>186304.59900000002</v>
      </c>
      <c r="AK30" s="13">
        <f t="shared" si="17"/>
        <v>129.55813560500695</v>
      </c>
      <c r="AM30" s="13">
        <f t="shared" si="18"/>
        <v>151.02058344923506</v>
      </c>
      <c r="AO30" s="34">
        <f t="shared" si="19"/>
        <v>1</v>
      </c>
      <c r="AQ30" s="56"/>
      <c r="AR30" s="56"/>
      <c r="AS30" s="51"/>
      <c r="AT30" s="51"/>
      <c r="AU30" s="51"/>
      <c r="AV30" s="57"/>
      <c r="AW30" s="56"/>
      <c r="AX30" s="51"/>
      <c r="AY30" s="56"/>
      <c r="AZ30" s="57"/>
      <c r="BA30" s="51"/>
      <c r="BB30" s="57"/>
      <c r="BC30" s="57"/>
      <c r="BD30" s="57"/>
      <c r="BF30" s="65" t="s">
        <v>53</v>
      </c>
      <c r="BG30" s="5"/>
      <c r="BH30" s="5"/>
      <c r="BI30" s="5"/>
      <c r="BK30" s="5">
        <v>25</v>
      </c>
    </row>
    <row r="31" spans="1:63" x14ac:dyDescent="0.2">
      <c r="A31" s="5">
        <v>25</v>
      </c>
      <c r="C31" s="1">
        <v>25</v>
      </c>
      <c r="D31" s="1">
        <v>25</v>
      </c>
      <c r="E31" s="52">
        <v>633</v>
      </c>
      <c r="F31" s="8">
        <v>1956</v>
      </c>
      <c r="G31" s="7" t="s">
        <v>71</v>
      </c>
      <c r="H31" s="2"/>
      <c r="I31" s="23">
        <v>633</v>
      </c>
      <c r="J31" s="23"/>
      <c r="K31" s="12">
        <f>2217+3916</f>
        <v>6133</v>
      </c>
      <c r="L31" s="12">
        <f>1646+4976</f>
        <v>6622</v>
      </c>
      <c r="M31" s="12">
        <f t="shared" si="20"/>
        <v>12755</v>
      </c>
      <c r="N31" s="13">
        <f t="shared" si="21"/>
        <v>20.150078988941548</v>
      </c>
      <c r="P31" s="12">
        <f>3236+3623</f>
        <v>6859</v>
      </c>
      <c r="Q31" s="11" t="s">
        <v>8</v>
      </c>
      <c r="R31" s="13">
        <f t="shared" si="22"/>
        <v>10.835703001579779</v>
      </c>
      <c r="S31" s="12">
        <f t="shared" si="23"/>
        <v>67005.570999999996</v>
      </c>
      <c r="T31" s="13">
        <f t="shared" si="24"/>
        <v>105.85398262243285</v>
      </c>
      <c r="V31" s="13">
        <f t="shared" si="25"/>
        <v>126.0040616113744</v>
      </c>
      <c r="X31" s="34">
        <f t="shared" si="26"/>
        <v>-0.43034619197999491</v>
      </c>
      <c r="Z31" s="11">
        <v>633</v>
      </c>
      <c r="AB31" s="12">
        <v>4974</v>
      </c>
      <c r="AC31" s="12">
        <v>8090</v>
      </c>
      <c r="AD31" s="12">
        <f t="shared" si="10"/>
        <v>13064</v>
      </c>
      <c r="AE31" s="13">
        <f t="shared" si="14"/>
        <v>20.638230647709321</v>
      </c>
      <c r="AG31" s="12">
        <f>7204+3137</f>
        <v>10341</v>
      </c>
      <c r="AH31" s="11" t="s">
        <v>8</v>
      </c>
      <c r="AI31" s="13">
        <f t="shared" si="15"/>
        <v>16.33649289099526</v>
      </c>
      <c r="AJ31" s="12">
        <f t="shared" si="16"/>
        <v>101021.22900000001</v>
      </c>
      <c r="AK31" s="13">
        <f t="shared" si="17"/>
        <v>159.59119905213271</v>
      </c>
      <c r="AM31" s="13">
        <f t="shared" si="18"/>
        <v>180.22942969984203</v>
      </c>
      <c r="AO31" s="34">
        <f t="shared" si="19"/>
        <v>0.42476247735804606</v>
      </c>
      <c r="AQ31" s="11">
        <f>Z31</f>
        <v>633</v>
      </c>
      <c r="AS31" s="12">
        <f t="shared" ref="AS31:AU33" si="32">AB31</f>
        <v>4974</v>
      </c>
      <c r="AT31" s="12">
        <f t="shared" si="32"/>
        <v>8090</v>
      </c>
      <c r="AU31" s="12">
        <f t="shared" si="32"/>
        <v>13064</v>
      </c>
      <c r="AV31" s="53">
        <f>AU31/AQ31</f>
        <v>20.638230647709321</v>
      </c>
      <c r="AX31" s="12">
        <f>AQ31*AZ31</f>
        <v>5380.5</v>
      </c>
      <c r="AY31" s="11" t="str">
        <f t="shared" ref="AX31:AZ33" si="33">AH31</f>
        <v>m3</v>
      </c>
      <c r="AZ31" s="59">
        <v>8.5</v>
      </c>
      <c r="BA31" s="12">
        <f>AX31*9.769</f>
        <v>52562.104500000001</v>
      </c>
      <c r="BB31" s="53">
        <f>BA31/AQ31</f>
        <v>83.036500000000004</v>
      </c>
      <c r="BC31" s="53"/>
      <c r="BD31" s="53">
        <f>AV31+BB31</f>
        <v>103.67473064770932</v>
      </c>
      <c r="BF31" s="65" t="s">
        <v>52</v>
      </c>
      <c r="BG31" s="10">
        <v>2029</v>
      </c>
      <c r="BH31" s="10">
        <v>2029</v>
      </c>
      <c r="BI31" s="10">
        <v>2029</v>
      </c>
      <c r="BK31" s="5">
        <v>26</v>
      </c>
    </row>
    <row r="32" spans="1:63" x14ac:dyDescent="0.2">
      <c r="A32" s="5">
        <v>26</v>
      </c>
      <c r="C32" s="2">
        <v>26</v>
      </c>
      <c r="D32" s="2">
        <v>26</v>
      </c>
      <c r="E32" s="8">
        <v>1974</v>
      </c>
      <c r="F32" s="8">
        <v>1928</v>
      </c>
      <c r="G32" s="7" t="s">
        <v>70</v>
      </c>
      <c r="H32" s="2"/>
      <c r="I32" s="23">
        <v>1974</v>
      </c>
      <c r="J32" s="23"/>
      <c r="K32" s="12">
        <v>15673</v>
      </c>
      <c r="L32" s="12">
        <v>54824</v>
      </c>
      <c r="M32" s="12">
        <f t="shared" si="20"/>
        <v>70497</v>
      </c>
      <c r="N32" s="13">
        <f t="shared" si="21"/>
        <v>35.712765957446805</v>
      </c>
      <c r="P32" s="12">
        <f>6951+9558</f>
        <v>16509</v>
      </c>
      <c r="Q32" s="11" t="s">
        <v>8</v>
      </c>
      <c r="R32" s="13">
        <f t="shared" si="22"/>
        <v>8.3632218844984809</v>
      </c>
      <c r="S32" s="12">
        <f t="shared" si="23"/>
        <v>161276.421</v>
      </c>
      <c r="T32" s="13">
        <f t="shared" si="24"/>
        <v>81.700314589665652</v>
      </c>
      <c r="V32" s="13">
        <f t="shared" si="25"/>
        <v>117.41308054711246</v>
      </c>
      <c r="X32" s="34">
        <f t="shared" si="26"/>
        <v>-1.2369541717210294E-2</v>
      </c>
      <c r="Z32" s="11">
        <v>1974</v>
      </c>
      <c r="AB32" s="12">
        <v>16502</v>
      </c>
      <c r="AC32" s="12">
        <v>53941</v>
      </c>
      <c r="AD32" s="12">
        <f t="shared" si="10"/>
        <v>70443</v>
      </c>
      <c r="AE32" s="13">
        <f t="shared" si="14"/>
        <v>35.685410334346507</v>
      </c>
      <c r="AG32" s="12">
        <v>16808</v>
      </c>
      <c r="AH32" s="11" t="s">
        <v>8</v>
      </c>
      <c r="AI32" s="13">
        <f t="shared" si="15"/>
        <v>8.5146909827760897</v>
      </c>
      <c r="AJ32" s="12">
        <f t="shared" si="16"/>
        <v>164197.35200000001</v>
      </c>
      <c r="AK32" s="13">
        <f t="shared" si="17"/>
        <v>83.180016210739623</v>
      </c>
      <c r="AM32" s="13">
        <f t="shared" si="18"/>
        <v>118.86542654508614</v>
      </c>
      <c r="AO32" s="34">
        <f t="shared" si="19"/>
        <v>0</v>
      </c>
      <c r="AQ32" s="11">
        <f>Z32</f>
        <v>1974</v>
      </c>
      <c r="AS32" s="12">
        <f t="shared" si="32"/>
        <v>16502</v>
      </c>
      <c r="AT32" s="12">
        <f t="shared" si="32"/>
        <v>53941</v>
      </c>
      <c r="AU32" s="12">
        <f t="shared" si="32"/>
        <v>70443</v>
      </c>
      <c r="AV32" s="53">
        <f>AU32/AQ32</f>
        <v>35.685410334346507</v>
      </c>
      <c r="AX32" s="12">
        <f>AQ32*AZ32</f>
        <v>16808</v>
      </c>
      <c r="AY32" s="11" t="str">
        <f t="shared" si="33"/>
        <v>m3</v>
      </c>
      <c r="AZ32" s="53">
        <f t="shared" si="33"/>
        <v>8.5146909827760897</v>
      </c>
      <c r="BA32" s="12">
        <f>AX32*9.769</f>
        <v>164197.35200000001</v>
      </c>
      <c r="BB32" s="53">
        <f>BA32/AQ32</f>
        <v>83.180016210739623</v>
      </c>
      <c r="BC32" s="53"/>
      <c r="BD32" s="53">
        <f>AV32+BB32</f>
        <v>118.86542654508614</v>
      </c>
      <c r="BG32" s="10">
        <v>2029</v>
      </c>
      <c r="BH32" s="10">
        <v>2029</v>
      </c>
      <c r="BI32" s="10">
        <v>2029</v>
      </c>
      <c r="BK32" s="5">
        <v>27</v>
      </c>
    </row>
    <row r="33" spans="1:63" x14ac:dyDescent="0.2">
      <c r="A33" s="5">
        <v>27</v>
      </c>
      <c r="C33" s="2">
        <v>27</v>
      </c>
      <c r="D33" s="2">
        <v>27</v>
      </c>
      <c r="E33" s="8">
        <f>1794+373</f>
        <v>2167</v>
      </c>
      <c r="F33" s="8">
        <v>1982</v>
      </c>
      <c r="G33" s="7" t="s">
        <v>70</v>
      </c>
      <c r="H33" s="2"/>
      <c r="I33" s="23">
        <v>2167</v>
      </c>
      <c r="J33" s="23"/>
      <c r="K33" s="12">
        <v>9050</v>
      </c>
      <c r="L33" s="12">
        <v>38430</v>
      </c>
      <c r="M33" s="12">
        <f t="shared" si="20"/>
        <v>47480</v>
      </c>
      <c r="N33" s="13">
        <f t="shared" si="21"/>
        <v>21.91047531149054</v>
      </c>
      <c r="P33" s="12">
        <v>23422</v>
      </c>
      <c r="Q33" s="11" t="s">
        <v>8</v>
      </c>
      <c r="R33" s="13">
        <f t="shared" si="22"/>
        <v>10.808491001384402</v>
      </c>
      <c r="S33" s="12">
        <f t="shared" si="23"/>
        <v>228809.51800000001</v>
      </c>
      <c r="T33" s="13">
        <f t="shared" si="24"/>
        <v>105.58814859252423</v>
      </c>
      <c r="V33" s="13">
        <f t="shared" si="25"/>
        <v>127.49862390401478</v>
      </c>
      <c r="X33" s="34">
        <f t="shared" si="26"/>
        <v>2.2963049940968989E-3</v>
      </c>
      <c r="Z33" s="11">
        <v>2167</v>
      </c>
      <c r="AB33" s="43">
        <v>8857</v>
      </c>
      <c r="AC33" s="43">
        <v>32176</v>
      </c>
      <c r="AD33" s="12">
        <f t="shared" si="10"/>
        <v>41033</v>
      </c>
      <c r="AE33" s="13">
        <f t="shared" si="14"/>
        <v>18.935394554683896</v>
      </c>
      <c r="AG33" s="12">
        <v>24017</v>
      </c>
      <c r="AH33" s="11" t="s">
        <v>8</v>
      </c>
      <c r="AI33" s="13">
        <f t="shared" si="15"/>
        <v>11.08306414397785</v>
      </c>
      <c r="AJ33" s="12">
        <f t="shared" si="16"/>
        <v>234622.073</v>
      </c>
      <c r="AK33" s="13">
        <f t="shared" si="17"/>
        <v>108.27045362251961</v>
      </c>
      <c r="AM33" s="13">
        <f t="shared" si="18"/>
        <v>127.20584817720351</v>
      </c>
      <c r="AO33" s="34">
        <f t="shared" si="19"/>
        <v>0.19837101818909747</v>
      </c>
      <c r="AQ33" s="11">
        <f>Z33</f>
        <v>2167</v>
      </c>
      <c r="AS33" s="12">
        <f t="shared" si="32"/>
        <v>8857</v>
      </c>
      <c r="AT33" s="12">
        <f t="shared" si="32"/>
        <v>32176</v>
      </c>
      <c r="AU33" s="12">
        <f t="shared" si="32"/>
        <v>41033</v>
      </c>
      <c r="AV33" s="53">
        <f>AU33/AQ33</f>
        <v>18.935394554683896</v>
      </c>
      <c r="AX33" s="12">
        <f>AQ33*AZ33</f>
        <v>18419.5</v>
      </c>
      <c r="AY33" s="11" t="str">
        <f t="shared" si="33"/>
        <v>m3</v>
      </c>
      <c r="AZ33" s="59">
        <v>8.5</v>
      </c>
      <c r="BA33" s="12">
        <f>AX33*9.769</f>
        <v>179940.0955</v>
      </c>
      <c r="BB33" s="53">
        <f>BA33/AQ33</f>
        <v>83.036500000000004</v>
      </c>
      <c r="BC33" s="53"/>
      <c r="BD33" s="53">
        <f>AV33+BB33</f>
        <v>101.9718945546839</v>
      </c>
      <c r="BG33" s="10">
        <v>2029</v>
      </c>
      <c r="BH33" s="10">
        <v>2029</v>
      </c>
      <c r="BI33" s="10">
        <v>2029</v>
      </c>
      <c r="BK33" s="5">
        <v>28</v>
      </c>
    </row>
    <row r="34" spans="1:63" x14ac:dyDescent="0.2">
      <c r="A34" s="5">
        <v>28</v>
      </c>
      <c r="C34" s="1">
        <v>28</v>
      </c>
      <c r="D34" s="1">
        <v>28</v>
      </c>
      <c r="E34" s="8">
        <v>526</v>
      </c>
      <c r="F34" s="8">
        <v>1957</v>
      </c>
      <c r="G34" s="7" t="s">
        <v>70</v>
      </c>
      <c r="H34" s="2"/>
      <c r="I34" s="23">
        <v>526</v>
      </c>
      <c r="J34" s="23"/>
      <c r="K34" s="12">
        <v>3974</v>
      </c>
      <c r="L34" s="12">
        <v>7230</v>
      </c>
      <c r="M34" s="12">
        <f t="shared" si="20"/>
        <v>11204</v>
      </c>
      <c r="N34" s="13">
        <f t="shared" si="21"/>
        <v>21.300380228136881</v>
      </c>
      <c r="P34" s="12">
        <f>6736+4496</f>
        <v>11232</v>
      </c>
      <c r="Q34" s="11" t="s">
        <v>8</v>
      </c>
      <c r="R34" s="13">
        <f t="shared" si="22"/>
        <v>21.35361216730038</v>
      </c>
      <c r="S34" s="12">
        <f t="shared" si="23"/>
        <v>109725.408</v>
      </c>
      <c r="T34" s="13">
        <f t="shared" si="24"/>
        <v>208.6034372623574</v>
      </c>
      <c r="V34" s="13">
        <f t="shared" si="25"/>
        <v>229.90381749049428</v>
      </c>
      <c r="X34" s="34">
        <f t="shared" si="26"/>
        <v>-1.4702064860848576E-2</v>
      </c>
      <c r="Z34" s="11">
        <v>526</v>
      </c>
      <c r="AB34" s="12">
        <v>4476</v>
      </c>
      <c r="AC34" s="12">
        <v>8037</v>
      </c>
      <c r="AD34" s="12">
        <f t="shared" si="10"/>
        <v>12513</v>
      </c>
      <c r="AE34" s="13">
        <f t="shared" si="14"/>
        <v>23.788973384030417</v>
      </c>
      <c r="AG34" s="12">
        <v>11280</v>
      </c>
      <c r="AH34" s="11" t="s">
        <v>8</v>
      </c>
      <c r="AI34" s="13">
        <f t="shared" si="15"/>
        <v>21.444866920152091</v>
      </c>
      <c r="AJ34" s="12">
        <f t="shared" si="16"/>
        <v>110194.32</v>
      </c>
      <c r="AK34" s="13">
        <f t="shared" si="17"/>
        <v>209.4949049429658</v>
      </c>
      <c r="AM34" s="13">
        <f t="shared" si="18"/>
        <v>233.28387832699622</v>
      </c>
      <c r="AO34" s="34">
        <f t="shared" si="19"/>
        <v>1</v>
      </c>
      <c r="AQ34" s="56"/>
      <c r="AR34" s="56"/>
      <c r="AS34" s="51"/>
      <c r="AT34" s="51"/>
      <c r="AU34" s="51"/>
      <c r="AV34" s="57"/>
      <c r="AW34" s="56"/>
      <c r="AX34" s="51"/>
      <c r="AY34" s="56"/>
      <c r="AZ34" s="57"/>
      <c r="BA34" s="51"/>
      <c r="BB34" s="57"/>
      <c r="BC34" s="57"/>
      <c r="BD34" s="57">
        <f>AV34+BB34</f>
        <v>0</v>
      </c>
      <c r="BF34" s="65" t="s">
        <v>40</v>
      </c>
      <c r="BG34" s="5"/>
      <c r="BH34" s="5"/>
      <c r="BI34" s="5"/>
      <c r="BK34" s="5">
        <v>29</v>
      </c>
    </row>
    <row r="35" spans="1:63" x14ac:dyDescent="0.2">
      <c r="A35" s="5">
        <v>29</v>
      </c>
      <c r="C35" s="2">
        <v>29</v>
      </c>
      <c r="D35" s="2">
        <v>29</v>
      </c>
      <c r="E35" s="8">
        <v>508</v>
      </c>
      <c r="F35" s="8">
        <v>1957</v>
      </c>
      <c r="G35" s="7" t="s">
        <v>70</v>
      </c>
      <c r="H35" s="2"/>
      <c r="I35" s="23">
        <v>508</v>
      </c>
      <c r="J35" s="23"/>
      <c r="K35" s="12">
        <v>3546</v>
      </c>
      <c r="L35" s="12">
        <v>10190</v>
      </c>
      <c r="M35" s="12">
        <f t="shared" si="20"/>
        <v>13736</v>
      </c>
      <c r="N35" s="13">
        <f t="shared" si="21"/>
        <v>27.039370078740159</v>
      </c>
      <c r="P35" s="12">
        <f>5731+4454</f>
        <v>10185</v>
      </c>
      <c r="Q35" s="11" t="s">
        <v>8</v>
      </c>
      <c r="R35" s="13">
        <f t="shared" si="22"/>
        <v>20.049212598425196</v>
      </c>
      <c r="S35" s="12">
        <f t="shared" si="23"/>
        <v>99497.264999999999</v>
      </c>
      <c r="T35" s="13">
        <f t="shared" si="24"/>
        <v>195.86075787401575</v>
      </c>
      <c r="V35" s="13">
        <f t="shared" si="25"/>
        <v>222.90012795275589</v>
      </c>
      <c r="X35" s="34">
        <f t="shared" si="26"/>
        <v>-5.156285125223683E-3</v>
      </c>
      <c r="Z35" s="11">
        <v>508</v>
      </c>
      <c r="AB35" s="12">
        <v>4107</v>
      </c>
      <c r="AC35" s="12">
        <v>10926</v>
      </c>
      <c r="AD35" s="12">
        <f t="shared" si="10"/>
        <v>15033</v>
      </c>
      <c r="AE35" s="13">
        <f t="shared" si="14"/>
        <v>29.59251968503937</v>
      </c>
      <c r="AG35" s="43">
        <v>10112</v>
      </c>
      <c r="AH35" s="11" t="s">
        <v>8</v>
      </c>
      <c r="AI35" s="13">
        <f t="shared" si="15"/>
        <v>19.905511811023622</v>
      </c>
      <c r="AJ35" s="12">
        <f t="shared" si="16"/>
        <v>98784.127999999997</v>
      </c>
      <c r="AK35" s="13">
        <f t="shared" si="17"/>
        <v>194.45694488188977</v>
      </c>
      <c r="AM35" s="13">
        <f t="shared" si="18"/>
        <v>224.04946456692915</v>
      </c>
      <c r="AO35" s="34">
        <f t="shared" si="19"/>
        <v>1</v>
      </c>
      <c r="AQ35" s="56"/>
      <c r="AR35" s="56"/>
      <c r="AS35" s="51"/>
      <c r="AT35" s="51"/>
      <c r="AU35" s="51"/>
      <c r="AV35" s="57"/>
      <c r="AW35" s="56"/>
      <c r="AX35" s="51"/>
      <c r="AY35" s="56"/>
      <c r="AZ35" s="57"/>
      <c r="BA35" s="51"/>
      <c r="BB35" s="57"/>
      <c r="BC35" s="57"/>
      <c r="BD35" s="57">
        <f>AV35+BB35</f>
        <v>0</v>
      </c>
      <c r="BF35" s="65" t="s">
        <v>40</v>
      </c>
      <c r="BG35" s="5"/>
      <c r="BH35" s="5"/>
      <c r="BI35" s="5"/>
      <c r="BK35" s="5">
        <v>30</v>
      </c>
    </row>
    <row r="36" spans="1:63" x14ac:dyDescent="0.2">
      <c r="A36" s="5">
        <v>30</v>
      </c>
      <c r="C36" s="2">
        <v>30</v>
      </c>
      <c r="D36" s="2">
        <v>30</v>
      </c>
      <c r="E36" s="8">
        <v>474</v>
      </c>
      <c r="F36" s="8">
        <v>1962</v>
      </c>
      <c r="G36" s="7" t="s">
        <v>70</v>
      </c>
      <c r="H36" s="2"/>
      <c r="I36" s="23">
        <v>474</v>
      </c>
      <c r="J36" s="23"/>
      <c r="K36" s="12">
        <v>1628</v>
      </c>
      <c r="L36" s="12">
        <v>6592</v>
      </c>
      <c r="M36" s="12">
        <f t="shared" si="20"/>
        <v>8220</v>
      </c>
      <c r="N36" s="13">
        <f t="shared" si="21"/>
        <v>17.341772151898734</v>
      </c>
      <c r="P36" s="12">
        <v>11971</v>
      </c>
      <c r="Q36" s="11" t="s">
        <v>8</v>
      </c>
      <c r="R36" s="13">
        <f t="shared" si="22"/>
        <v>25.255274261603375</v>
      </c>
      <c r="S36" s="12">
        <f t="shared" si="23"/>
        <v>116944.69900000001</v>
      </c>
      <c r="T36" s="13">
        <f t="shared" si="24"/>
        <v>246.71877426160339</v>
      </c>
      <c r="V36" s="13">
        <f t="shared" si="25"/>
        <v>264.0605464135021</v>
      </c>
      <c r="X36" s="34">
        <f t="shared" si="26"/>
        <v>0.54115477080322794</v>
      </c>
      <c r="Z36" s="11">
        <v>474</v>
      </c>
      <c r="AB36" s="12">
        <v>1723</v>
      </c>
      <c r="AC36" s="12">
        <v>6619</v>
      </c>
      <c r="AD36" s="12">
        <f t="shared" si="10"/>
        <v>8342</v>
      </c>
      <c r="AE36" s="13">
        <f t="shared" si="14"/>
        <v>17.599156118143458</v>
      </c>
      <c r="AG36" s="12">
        <v>5025</v>
      </c>
      <c r="AH36" s="11" t="s">
        <v>8</v>
      </c>
      <c r="AI36" s="13">
        <f t="shared" si="15"/>
        <v>10.601265822784811</v>
      </c>
      <c r="AJ36" s="12">
        <f t="shared" si="16"/>
        <v>49089.224999999999</v>
      </c>
      <c r="AK36" s="13">
        <f t="shared" si="17"/>
        <v>103.5637658227848</v>
      </c>
      <c r="AM36" s="13">
        <f t="shared" si="18"/>
        <v>121.16292194092826</v>
      </c>
      <c r="AO36" s="34">
        <f t="shared" si="19"/>
        <v>1</v>
      </c>
      <c r="AQ36" s="56"/>
      <c r="AR36" s="56"/>
      <c r="AS36" s="51"/>
      <c r="AT36" s="51"/>
      <c r="AU36" s="51"/>
      <c r="AV36" s="57"/>
      <c r="AW36" s="56"/>
      <c r="AX36" s="51"/>
      <c r="AY36" s="56"/>
      <c r="AZ36" s="57"/>
      <c r="BA36" s="51"/>
      <c r="BB36" s="57"/>
      <c r="BC36" s="57"/>
      <c r="BD36" s="57"/>
      <c r="BF36" s="65" t="s">
        <v>53</v>
      </c>
      <c r="BG36" s="5"/>
      <c r="BH36" s="5"/>
      <c r="BI36" s="5"/>
      <c r="BK36" s="5">
        <v>31</v>
      </c>
    </row>
    <row r="37" spans="1:63" x14ac:dyDescent="0.2">
      <c r="A37" s="5">
        <v>31</v>
      </c>
      <c r="C37" s="1">
        <v>31</v>
      </c>
      <c r="D37" s="1">
        <v>31</v>
      </c>
      <c r="E37" s="8">
        <v>1676</v>
      </c>
      <c r="F37" s="8">
        <v>1970</v>
      </c>
      <c r="G37" s="7" t="s">
        <v>70</v>
      </c>
      <c r="H37" s="2"/>
      <c r="I37" s="23">
        <v>1676</v>
      </c>
      <c r="J37" s="23"/>
      <c r="K37" s="12">
        <v>8808</v>
      </c>
      <c r="L37" s="12">
        <v>24793</v>
      </c>
      <c r="M37" s="12">
        <f t="shared" si="20"/>
        <v>33601</v>
      </c>
      <c r="N37" s="13">
        <f t="shared" si="21"/>
        <v>20.04832935560859</v>
      </c>
      <c r="P37" s="12">
        <v>19186</v>
      </c>
      <c r="Q37" s="11" t="s">
        <v>8</v>
      </c>
      <c r="R37" s="13">
        <f t="shared" si="22"/>
        <v>11.447494033412887</v>
      </c>
      <c r="S37" s="12">
        <f t="shared" si="23"/>
        <v>187428.03400000001</v>
      </c>
      <c r="T37" s="13">
        <f t="shared" si="24"/>
        <v>111.83056921241051</v>
      </c>
      <c r="V37" s="13">
        <f t="shared" si="25"/>
        <v>131.87889856801911</v>
      </c>
      <c r="X37" s="64">
        <f t="shared" si="26"/>
        <v>0.32362328018861097</v>
      </c>
      <c r="Z37" s="11">
        <v>1676</v>
      </c>
      <c r="AB37" s="12">
        <v>9566</v>
      </c>
      <c r="AC37" s="12">
        <v>24688</v>
      </c>
      <c r="AD37" s="12">
        <f t="shared" si="10"/>
        <v>34254</v>
      </c>
      <c r="AE37" s="13">
        <f t="shared" si="14"/>
        <v>20.437947494033413</v>
      </c>
      <c r="AG37" s="12">
        <v>11797</v>
      </c>
      <c r="AH37" s="11" t="s">
        <v>8</v>
      </c>
      <c r="AI37" s="13">
        <f t="shared" si="15"/>
        <v>7.0387828162291166</v>
      </c>
      <c r="AJ37" s="12">
        <f t="shared" si="16"/>
        <v>115244.893</v>
      </c>
      <c r="AK37" s="13">
        <f t="shared" si="17"/>
        <v>68.761869331742247</v>
      </c>
      <c r="AM37" s="13">
        <f t="shared" si="18"/>
        <v>89.199816825775656</v>
      </c>
      <c r="AO37" s="34">
        <f t="shared" si="19"/>
        <v>0</v>
      </c>
      <c r="AQ37" s="11">
        <f>Z37</f>
        <v>1676</v>
      </c>
      <c r="AS37" s="12">
        <f>AB37</f>
        <v>9566</v>
      </c>
      <c r="AT37" s="12">
        <f>AC37</f>
        <v>24688</v>
      </c>
      <c r="AU37" s="12">
        <f>AD37</f>
        <v>34254</v>
      </c>
      <c r="AV37" s="53">
        <f>AU37/AQ37</f>
        <v>20.437947494033413</v>
      </c>
      <c r="AX37" s="12">
        <f>AQ37*AZ37</f>
        <v>11797</v>
      </c>
      <c r="AY37" s="11" t="str">
        <f t="shared" ref="AX37:AZ38" si="34">AH37</f>
        <v>m3</v>
      </c>
      <c r="AZ37" s="53">
        <f t="shared" si="34"/>
        <v>7.0387828162291166</v>
      </c>
      <c r="BA37" s="12">
        <f>AX37*9.769</f>
        <v>115244.893</v>
      </c>
      <c r="BB37" s="13">
        <f>BA37/AQ37</f>
        <v>68.761869331742247</v>
      </c>
      <c r="BC37" s="53"/>
      <c r="BD37" s="53">
        <f>AV37+BB37</f>
        <v>89.199816825775656</v>
      </c>
      <c r="BG37" s="63">
        <v>2018</v>
      </c>
      <c r="BH37" s="63">
        <v>2018</v>
      </c>
      <c r="BI37" s="63">
        <v>2018</v>
      </c>
      <c r="BK37" s="5">
        <v>32</v>
      </c>
    </row>
    <row r="38" spans="1:63" x14ac:dyDescent="0.2">
      <c r="A38" s="5">
        <v>32</v>
      </c>
      <c r="C38" s="2">
        <v>32</v>
      </c>
      <c r="D38" s="2">
        <v>32</v>
      </c>
      <c r="E38" s="8">
        <v>2381</v>
      </c>
      <c r="F38" s="8">
        <v>1981</v>
      </c>
      <c r="G38" s="7" t="s">
        <v>70</v>
      </c>
      <c r="H38" s="2"/>
      <c r="I38" s="23">
        <v>2381</v>
      </c>
      <c r="J38" s="23"/>
      <c r="K38" s="29"/>
      <c r="L38" s="29"/>
      <c r="M38" s="29">
        <f>I38*N38</f>
        <v>70715.7</v>
      </c>
      <c r="N38" s="31">
        <v>29.7</v>
      </c>
      <c r="P38" s="12">
        <v>20323</v>
      </c>
      <c r="Q38" s="11" t="s">
        <v>8</v>
      </c>
      <c r="R38" s="13">
        <f t="shared" si="22"/>
        <v>8.5354892902141959</v>
      </c>
      <c r="S38" s="12">
        <f t="shared" si="23"/>
        <v>198535.38700000002</v>
      </c>
      <c r="T38" s="13">
        <f t="shared" si="24"/>
        <v>83.383194876102479</v>
      </c>
      <c r="V38" s="13">
        <f t="shared" si="25"/>
        <v>113.08319487610248</v>
      </c>
      <c r="X38" s="34">
        <f t="shared" si="26"/>
        <v>-8.0039468884298248E-2</v>
      </c>
      <c r="Z38" s="11">
        <v>2381</v>
      </c>
      <c r="AB38" s="29"/>
      <c r="AC38" s="29"/>
      <c r="AD38" s="29">
        <v>70716</v>
      </c>
      <c r="AE38" s="31">
        <f t="shared" si="14"/>
        <v>29.70012599748005</v>
      </c>
      <c r="AG38" s="12">
        <v>22529</v>
      </c>
      <c r="AH38" s="11" t="s">
        <v>8</v>
      </c>
      <c r="AI38" s="13">
        <f t="shared" si="15"/>
        <v>9.461990760184797</v>
      </c>
      <c r="AJ38" s="12">
        <f t="shared" si="16"/>
        <v>220085.80100000001</v>
      </c>
      <c r="AK38" s="13">
        <f t="shared" si="17"/>
        <v>92.434187736245278</v>
      </c>
      <c r="AM38" s="13">
        <f t="shared" si="18"/>
        <v>122.13431373372532</v>
      </c>
      <c r="AO38" s="34">
        <f t="shared" si="19"/>
        <v>7.6945515547202539E-2</v>
      </c>
      <c r="AQ38" s="11">
        <f>Z38</f>
        <v>2381</v>
      </c>
      <c r="AS38" s="29"/>
      <c r="AT38" s="29"/>
      <c r="AU38" s="29">
        <f>AD38</f>
        <v>70716</v>
      </c>
      <c r="AV38" s="54">
        <f>AE38</f>
        <v>29.70012599748005</v>
      </c>
      <c r="AX38" s="12">
        <f>AQ38*AZ38</f>
        <v>20238.5</v>
      </c>
      <c r="AY38" s="11" t="str">
        <f t="shared" si="34"/>
        <v>m3</v>
      </c>
      <c r="AZ38" s="59">
        <v>8.5</v>
      </c>
      <c r="BA38" s="12">
        <f>AX38*9.769</f>
        <v>197709.90650000001</v>
      </c>
      <c r="BB38" s="13">
        <f>BA38/AQ38</f>
        <v>83.036500000000004</v>
      </c>
      <c r="BC38" s="53"/>
      <c r="BD38" s="53">
        <f>AV38+BB38</f>
        <v>112.73662599748005</v>
      </c>
      <c r="BF38" s="65" t="s">
        <v>54</v>
      </c>
      <c r="BG38" s="10">
        <v>2029</v>
      </c>
      <c r="BH38" s="10">
        <v>2029</v>
      </c>
      <c r="BI38" s="10">
        <v>2029</v>
      </c>
      <c r="BK38" s="5">
        <v>33</v>
      </c>
    </row>
    <row r="39" spans="1:63" x14ac:dyDescent="0.2">
      <c r="A39" s="5">
        <v>33</v>
      </c>
      <c r="C39" s="2">
        <v>33</v>
      </c>
      <c r="D39" s="2">
        <v>33</v>
      </c>
      <c r="E39" s="8">
        <v>1889</v>
      </c>
      <c r="F39" s="8">
        <v>1954</v>
      </c>
      <c r="G39" s="7" t="s">
        <v>70</v>
      </c>
      <c r="H39" s="2"/>
      <c r="I39" s="23">
        <v>1889</v>
      </c>
      <c r="J39" s="23"/>
      <c r="K39" s="12">
        <v>20489</v>
      </c>
      <c r="L39" s="12">
        <v>29941</v>
      </c>
      <c r="M39" s="12">
        <f t="shared" ref="M39:M45" si="35">K39+L39</f>
        <v>50430</v>
      </c>
      <c r="N39" s="13">
        <f t="shared" ref="N39:N45" si="36">M39/I39</f>
        <v>26.696664902064583</v>
      </c>
      <c r="P39" s="13">
        <v>689.73</v>
      </c>
      <c r="Q39" s="11" t="s">
        <v>17</v>
      </c>
      <c r="R39" s="24">
        <f t="shared" si="22"/>
        <v>0.36512969825304392</v>
      </c>
      <c r="S39" s="12">
        <f>P39*277.78</f>
        <v>191593.19939999998</v>
      </c>
      <c r="T39" s="13">
        <f t="shared" si="24"/>
        <v>101.42572758073054</v>
      </c>
      <c r="V39" s="13">
        <f t="shared" si="25"/>
        <v>128.12239248279514</v>
      </c>
      <c r="X39" s="34">
        <f t="shared" si="26"/>
        <v>-0.21891199162455158</v>
      </c>
      <c r="Z39" s="11">
        <v>1889</v>
      </c>
      <c r="AB39" s="12">
        <v>18083</v>
      </c>
      <c r="AC39" s="12">
        <v>29420</v>
      </c>
      <c r="AD39" s="12">
        <f t="shared" ref="AD39:AD45" si="37">AB39+AC39</f>
        <v>47503</v>
      </c>
      <c r="AE39" s="13">
        <f t="shared" si="14"/>
        <v>25.147167813658019</v>
      </c>
      <c r="AG39" s="12">
        <v>891</v>
      </c>
      <c r="AH39" s="11" t="s">
        <v>17</v>
      </c>
      <c r="AI39" s="24">
        <f t="shared" si="15"/>
        <v>0.47167813658020119</v>
      </c>
      <c r="AJ39" s="12">
        <f>AG39*277.78</f>
        <v>247501.97999999998</v>
      </c>
      <c r="AK39" s="13">
        <f t="shared" si="17"/>
        <v>131.02275277924826</v>
      </c>
      <c r="AM39" s="13">
        <f t="shared" si="18"/>
        <v>156.16992059290629</v>
      </c>
      <c r="AO39" s="34">
        <f t="shared" si="19"/>
        <v>0.80790154796708857</v>
      </c>
      <c r="AQ39" s="36">
        <f>Z39</f>
        <v>1889</v>
      </c>
      <c r="AR39" s="36"/>
      <c r="AS39" s="35"/>
      <c r="AT39" s="35"/>
      <c r="AU39" s="35">
        <f>AQ39*AV39</f>
        <v>56670</v>
      </c>
      <c r="AV39" s="37">
        <v>30</v>
      </c>
      <c r="AW39" s="36"/>
      <c r="AX39" s="36"/>
      <c r="AY39" s="36" t="s">
        <v>72</v>
      </c>
      <c r="AZ39" s="36"/>
      <c r="BA39" s="36"/>
      <c r="BB39" s="36"/>
      <c r="BC39" s="36"/>
      <c r="BD39" s="37">
        <f>AV39+BB39</f>
        <v>30</v>
      </c>
      <c r="BF39" s="65" t="s">
        <v>76</v>
      </c>
      <c r="BG39" s="5"/>
      <c r="BH39" s="5"/>
      <c r="BI39" s="5"/>
      <c r="BK39" s="5">
        <v>34</v>
      </c>
    </row>
    <row r="40" spans="1:63" x14ac:dyDescent="0.2">
      <c r="A40" s="5">
        <v>34</v>
      </c>
      <c r="C40" s="1">
        <v>34</v>
      </c>
      <c r="D40" s="1">
        <v>34</v>
      </c>
      <c r="E40" s="8">
        <v>1045</v>
      </c>
      <c r="F40" s="8">
        <v>1921</v>
      </c>
      <c r="G40" s="7" t="s">
        <v>70</v>
      </c>
      <c r="H40" s="2"/>
      <c r="I40" s="23">
        <v>1045</v>
      </c>
      <c r="J40" s="23"/>
      <c r="K40" s="12">
        <v>6897</v>
      </c>
      <c r="L40" s="12">
        <v>19500</v>
      </c>
      <c r="M40" s="12">
        <f t="shared" si="35"/>
        <v>26397</v>
      </c>
      <c r="N40" s="13">
        <f t="shared" si="36"/>
        <v>25.260287081339712</v>
      </c>
      <c r="P40" s="12">
        <f>4210+11389</f>
        <v>15599</v>
      </c>
      <c r="Q40" s="11" t="s">
        <v>8</v>
      </c>
      <c r="R40" s="13">
        <f t="shared" si="22"/>
        <v>14.927272727272728</v>
      </c>
      <c r="S40" s="12">
        <f t="shared" ref="S40:S45" si="38">P40*9.769</f>
        <v>152386.63099999999</v>
      </c>
      <c r="T40" s="13">
        <f t="shared" si="24"/>
        <v>145.82452727272727</v>
      </c>
      <c r="V40" s="13">
        <f t="shared" si="25"/>
        <v>171.08481435406696</v>
      </c>
      <c r="X40" s="34">
        <f t="shared" si="26"/>
        <v>-0.25574211545127434</v>
      </c>
      <c r="Z40" s="11">
        <v>1045</v>
      </c>
      <c r="AB40" s="12">
        <v>6793</v>
      </c>
      <c r="AC40" s="12">
        <v>18279</v>
      </c>
      <c r="AD40" s="12">
        <f t="shared" si="37"/>
        <v>25072</v>
      </c>
      <c r="AE40" s="13">
        <f t="shared" si="14"/>
        <v>23.992344497607654</v>
      </c>
      <c r="AG40" s="12">
        <v>20415</v>
      </c>
      <c r="AH40" s="11" t="s">
        <v>8</v>
      </c>
      <c r="AI40" s="13">
        <f t="shared" si="15"/>
        <v>19.535885167464116</v>
      </c>
      <c r="AJ40" s="12">
        <f t="shared" ref="AJ40:AJ45" si="39">AG40*9.769</f>
        <v>199434.13500000001</v>
      </c>
      <c r="AK40" s="13">
        <f t="shared" si="17"/>
        <v>190.84606220095694</v>
      </c>
      <c r="AM40" s="13">
        <f t="shared" si="18"/>
        <v>214.8384066985646</v>
      </c>
      <c r="AO40" s="34">
        <f t="shared" si="19"/>
        <v>1</v>
      </c>
      <c r="AQ40" s="56"/>
      <c r="AR40" s="56"/>
      <c r="AS40" s="51"/>
      <c r="AT40" s="51"/>
      <c r="AU40" s="51"/>
      <c r="AV40" s="57"/>
      <c r="AW40" s="56"/>
      <c r="AX40" s="51"/>
      <c r="AY40" s="56"/>
      <c r="AZ40" s="57"/>
      <c r="BA40" s="51"/>
      <c r="BB40" s="57"/>
      <c r="BC40" s="57"/>
      <c r="BD40" s="57"/>
      <c r="BF40" s="65" t="s">
        <v>53</v>
      </c>
      <c r="BG40" s="5"/>
      <c r="BH40" s="5"/>
      <c r="BI40" s="5"/>
      <c r="BK40" s="5">
        <v>35</v>
      </c>
    </row>
    <row r="41" spans="1:63" x14ac:dyDescent="0.2">
      <c r="A41" s="5">
        <v>35</v>
      </c>
      <c r="C41" s="2">
        <v>35</v>
      </c>
      <c r="D41" s="2">
        <v>35</v>
      </c>
      <c r="E41" s="8">
        <v>1248</v>
      </c>
      <c r="F41" s="8">
        <v>1915</v>
      </c>
      <c r="G41" s="7" t="s">
        <v>70</v>
      </c>
      <c r="H41" s="2"/>
      <c r="I41" s="23">
        <v>1248</v>
      </c>
      <c r="J41" s="23"/>
      <c r="K41" s="12">
        <v>10021</v>
      </c>
      <c r="L41" s="12">
        <v>27501</v>
      </c>
      <c r="M41" s="12">
        <f t="shared" si="35"/>
        <v>37522</v>
      </c>
      <c r="N41" s="13">
        <f t="shared" si="36"/>
        <v>30.065705128205128</v>
      </c>
      <c r="P41" s="12">
        <f>7088+15917</f>
        <v>23005</v>
      </c>
      <c r="Q41" s="11" t="s">
        <v>8</v>
      </c>
      <c r="R41" s="13">
        <f t="shared" si="22"/>
        <v>18.433493589743591</v>
      </c>
      <c r="S41" s="12">
        <f t="shared" si="38"/>
        <v>224735.845</v>
      </c>
      <c r="T41" s="13">
        <f t="shared" si="24"/>
        <v>180.07679887820512</v>
      </c>
      <c r="V41" s="13">
        <f t="shared" si="25"/>
        <v>210.14250400641026</v>
      </c>
      <c r="X41" s="34">
        <f t="shared" si="26"/>
        <v>-9.9287089009672938E-2</v>
      </c>
      <c r="Z41" s="11">
        <v>1248</v>
      </c>
      <c r="AB41" s="12">
        <v>8240</v>
      </c>
      <c r="AC41" s="12">
        <v>24822</v>
      </c>
      <c r="AD41" s="12">
        <f t="shared" si="37"/>
        <v>33062</v>
      </c>
      <c r="AE41" s="13">
        <f t="shared" si="14"/>
        <v>26.491987179487179</v>
      </c>
      <c r="AG41" s="12">
        <v>26127</v>
      </c>
      <c r="AH41" s="11" t="s">
        <v>8</v>
      </c>
      <c r="AI41" s="13">
        <f t="shared" si="15"/>
        <v>20.935096153846153</v>
      </c>
      <c r="AJ41" s="12">
        <f t="shared" si="39"/>
        <v>255234.663</v>
      </c>
      <c r="AK41" s="13">
        <f t="shared" si="17"/>
        <v>204.51495432692309</v>
      </c>
      <c r="AM41" s="13">
        <f t="shared" si="18"/>
        <v>231.00694150641027</v>
      </c>
      <c r="AO41" s="34">
        <f t="shared" si="19"/>
        <v>1</v>
      </c>
      <c r="AQ41" s="56"/>
      <c r="AR41" s="56"/>
      <c r="AS41" s="51"/>
      <c r="AT41" s="51"/>
      <c r="AU41" s="51"/>
      <c r="AV41" s="57"/>
      <c r="AW41" s="56"/>
      <c r="AX41" s="51"/>
      <c r="AY41" s="56"/>
      <c r="AZ41" s="57"/>
      <c r="BA41" s="51"/>
      <c r="BB41" s="57"/>
      <c r="BC41" s="57"/>
      <c r="BD41" s="57"/>
      <c r="BF41" s="65" t="s">
        <v>53</v>
      </c>
      <c r="BG41" s="5"/>
      <c r="BH41" s="5"/>
      <c r="BI41" s="5"/>
      <c r="BK41" s="5">
        <v>36</v>
      </c>
    </row>
    <row r="42" spans="1:63" x14ac:dyDescent="0.2">
      <c r="A42" s="5">
        <v>36</v>
      </c>
      <c r="C42" s="2">
        <v>36</v>
      </c>
      <c r="D42" s="2">
        <v>36</v>
      </c>
      <c r="E42" s="8">
        <v>1313</v>
      </c>
      <c r="F42" s="8">
        <v>1927</v>
      </c>
      <c r="G42" s="7" t="s">
        <v>70</v>
      </c>
      <c r="H42" s="2"/>
      <c r="I42" s="23">
        <v>1313</v>
      </c>
      <c r="J42" s="23"/>
      <c r="K42" s="12">
        <v>5295</v>
      </c>
      <c r="L42" s="12">
        <v>21834</v>
      </c>
      <c r="M42" s="12">
        <f t="shared" si="35"/>
        <v>27129</v>
      </c>
      <c r="N42" s="13">
        <f t="shared" si="36"/>
        <v>20.661843107387661</v>
      </c>
      <c r="P42" s="12">
        <v>17127</v>
      </c>
      <c r="Q42" s="11" t="s">
        <v>8</v>
      </c>
      <c r="R42" s="13">
        <f t="shared" si="22"/>
        <v>13.044173648134045</v>
      </c>
      <c r="S42" s="12">
        <f t="shared" si="38"/>
        <v>167313.663</v>
      </c>
      <c r="T42" s="13">
        <f t="shared" si="24"/>
        <v>127.42853236862148</v>
      </c>
      <c r="V42" s="13">
        <f t="shared" si="25"/>
        <v>148.09037547600914</v>
      </c>
      <c r="X42" s="34">
        <f t="shared" si="26"/>
        <v>-8.7145021254928373E-3</v>
      </c>
      <c r="Z42" s="11">
        <v>1313</v>
      </c>
      <c r="AB42" s="43">
        <v>6625</v>
      </c>
      <c r="AC42" s="43">
        <v>22599</v>
      </c>
      <c r="AD42" s="12">
        <f t="shared" si="37"/>
        <v>29224</v>
      </c>
      <c r="AE42" s="13">
        <f t="shared" si="14"/>
        <v>22.257425742574256</v>
      </c>
      <c r="AG42" s="12">
        <f>10415+6671</f>
        <v>17086</v>
      </c>
      <c r="AH42" s="11" t="s">
        <v>8</v>
      </c>
      <c r="AI42" s="13">
        <f t="shared" si="15"/>
        <v>13.012947448591014</v>
      </c>
      <c r="AJ42" s="12">
        <f t="shared" si="39"/>
        <v>166913.13399999999</v>
      </c>
      <c r="AK42" s="13">
        <f t="shared" si="17"/>
        <v>127.1234836252856</v>
      </c>
      <c r="AM42" s="13">
        <f t="shared" si="18"/>
        <v>149.38090936785986</v>
      </c>
      <c r="AO42" s="34">
        <f t="shared" si="19"/>
        <v>0.29513131103465595</v>
      </c>
      <c r="AQ42" s="11">
        <f>Z42</f>
        <v>1313</v>
      </c>
      <c r="AS42" s="12">
        <f t="shared" ref="AS42:AU43" si="40">AB42</f>
        <v>6625</v>
      </c>
      <c r="AT42" s="12">
        <f t="shared" si="40"/>
        <v>22599</v>
      </c>
      <c r="AU42" s="12">
        <f t="shared" si="40"/>
        <v>29224</v>
      </c>
      <c r="AV42" s="53">
        <f>AU42/AQ42</f>
        <v>22.257425742574256</v>
      </c>
      <c r="AX42" s="12">
        <f>AQ42*AZ42</f>
        <v>11160.5</v>
      </c>
      <c r="AY42" s="11" t="str">
        <f t="shared" ref="AX42:AZ43" si="41">AH42</f>
        <v>m3</v>
      </c>
      <c r="AZ42" s="59">
        <v>8.5</v>
      </c>
      <c r="BA42" s="12">
        <f>AX42*9.769</f>
        <v>109026.92450000001</v>
      </c>
      <c r="BB42" s="13">
        <f>BA42/AQ42</f>
        <v>83.036500000000004</v>
      </c>
      <c r="BC42" s="53"/>
      <c r="BD42" s="53">
        <f t="shared" ref="BD42:BD47" si="42">AV42+BB42</f>
        <v>105.29392574257426</v>
      </c>
      <c r="BG42" s="10">
        <v>2029</v>
      </c>
      <c r="BH42" s="10">
        <v>2029</v>
      </c>
      <c r="BI42" s="10">
        <v>2029</v>
      </c>
      <c r="BK42" s="5">
        <v>37</v>
      </c>
    </row>
    <row r="43" spans="1:63" x14ac:dyDescent="0.2">
      <c r="A43" s="5">
        <v>37</v>
      </c>
      <c r="C43" s="1">
        <v>37</v>
      </c>
      <c r="D43" s="1">
        <v>37</v>
      </c>
      <c r="E43" s="8">
        <v>2915</v>
      </c>
      <c r="F43" s="8">
        <v>1930</v>
      </c>
      <c r="G43" s="7" t="s">
        <v>70</v>
      </c>
      <c r="H43" s="2"/>
      <c r="I43" s="23">
        <v>2915</v>
      </c>
      <c r="J43" s="23"/>
      <c r="K43" s="12">
        <v>14231</v>
      </c>
      <c r="L43" s="12">
        <v>55539</v>
      </c>
      <c r="M43" s="12">
        <f t="shared" si="35"/>
        <v>69770</v>
      </c>
      <c r="N43" s="13">
        <f t="shared" si="36"/>
        <v>23.934819897084047</v>
      </c>
      <c r="P43" s="12">
        <v>28842</v>
      </c>
      <c r="Q43" s="11" t="s">
        <v>8</v>
      </c>
      <c r="R43" s="13">
        <f t="shared" si="22"/>
        <v>9.8943396226415086</v>
      </c>
      <c r="S43" s="12">
        <f t="shared" si="38"/>
        <v>281757.49800000002</v>
      </c>
      <c r="T43" s="13">
        <f t="shared" si="24"/>
        <v>96.657803773584916</v>
      </c>
      <c r="V43" s="13">
        <f t="shared" si="25"/>
        <v>120.59262367066896</v>
      </c>
      <c r="X43" s="34">
        <f t="shared" si="26"/>
        <v>-4.5702723375569215E-2</v>
      </c>
      <c r="Z43" s="11">
        <v>2915</v>
      </c>
      <c r="AB43" s="12">
        <v>15267</v>
      </c>
      <c r="AC43" s="12">
        <v>57322</v>
      </c>
      <c r="AD43" s="12">
        <f t="shared" si="37"/>
        <v>72589</v>
      </c>
      <c r="AE43" s="13">
        <f t="shared" si="14"/>
        <v>24.901886792452832</v>
      </c>
      <c r="AG43" s="12">
        <v>30198</v>
      </c>
      <c r="AH43" s="11" t="s">
        <v>8</v>
      </c>
      <c r="AI43" s="13">
        <f t="shared" si="15"/>
        <v>10.359519725557462</v>
      </c>
      <c r="AJ43" s="12">
        <f t="shared" si="39"/>
        <v>295004.26199999999</v>
      </c>
      <c r="AK43" s="13">
        <f t="shared" si="17"/>
        <v>101.20214819897083</v>
      </c>
      <c r="AM43" s="13">
        <f t="shared" si="18"/>
        <v>126.10403499142366</v>
      </c>
      <c r="AO43" s="34">
        <f t="shared" si="19"/>
        <v>0.14405287031621372</v>
      </c>
      <c r="AQ43" s="11">
        <f>Z43</f>
        <v>2915</v>
      </c>
      <c r="AS43" s="12">
        <f t="shared" si="40"/>
        <v>15267</v>
      </c>
      <c r="AT43" s="12">
        <f t="shared" si="40"/>
        <v>57322</v>
      </c>
      <c r="AU43" s="12">
        <f t="shared" si="40"/>
        <v>72589</v>
      </c>
      <c r="AV43" s="53">
        <f>AU43/AQ43</f>
        <v>24.901886792452832</v>
      </c>
      <c r="AX43" s="12">
        <f>AQ43*AZ43</f>
        <v>24777.5</v>
      </c>
      <c r="AY43" s="11" t="str">
        <f t="shared" si="41"/>
        <v>m3</v>
      </c>
      <c r="AZ43" s="59">
        <v>8.5</v>
      </c>
      <c r="BA43" s="12">
        <f>AX43*9.769</f>
        <v>242051.39749999999</v>
      </c>
      <c r="BB43" s="13">
        <f>BA43/AQ43</f>
        <v>83.036500000000004</v>
      </c>
      <c r="BC43" s="53"/>
      <c r="BD43" s="53">
        <f t="shared" si="42"/>
        <v>107.93838679245283</v>
      </c>
      <c r="BG43" s="10">
        <v>2029</v>
      </c>
      <c r="BH43" s="10">
        <v>2029</v>
      </c>
      <c r="BI43" s="10">
        <v>2029</v>
      </c>
      <c r="BK43" s="5">
        <v>38</v>
      </c>
    </row>
    <row r="44" spans="1:63" x14ac:dyDescent="0.2">
      <c r="A44" s="5">
        <v>38</v>
      </c>
      <c r="C44" s="2">
        <v>38</v>
      </c>
      <c r="D44" s="2">
        <v>38</v>
      </c>
      <c r="E44" s="8">
        <v>724</v>
      </c>
      <c r="F44" s="8">
        <v>1970</v>
      </c>
      <c r="G44" s="7" t="s">
        <v>70</v>
      </c>
      <c r="H44" s="2"/>
      <c r="I44" s="23">
        <v>724</v>
      </c>
      <c r="J44" s="23"/>
      <c r="K44" s="12">
        <v>2358</v>
      </c>
      <c r="L44" s="12">
        <v>7009</v>
      </c>
      <c r="M44" s="12">
        <f t="shared" si="35"/>
        <v>9367</v>
      </c>
      <c r="N44" s="13">
        <f t="shared" si="36"/>
        <v>12.937845303867404</v>
      </c>
      <c r="P44" s="12">
        <v>12494</v>
      </c>
      <c r="Q44" s="11" t="s">
        <v>8</v>
      </c>
      <c r="R44" s="13">
        <f t="shared" si="22"/>
        <v>17.256906077348066</v>
      </c>
      <c r="S44" s="12">
        <f t="shared" si="38"/>
        <v>122053.886</v>
      </c>
      <c r="T44" s="13">
        <f t="shared" si="24"/>
        <v>168.58271546961325</v>
      </c>
      <c r="V44" s="13">
        <f t="shared" si="25"/>
        <v>181.52056077348064</v>
      </c>
      <c r="X44" s="34">
        <f t="shared" si="26"/>
        <v>0.18806836380634351</v>
      </c>
      <c r="Z44" s="11">
        <v>724</v>
      </c>
      <c r="AB44" s="12">
        <v>2463</v>
      </c>
      <c r="AC44" s="12">
        <v>6796</v>
      </c>
      <c r="AD44" s="12">
        <f t="shared" si="37"/>
        <v>9259</v>
      </c>
      <c r="AE44" s="13">
        <f t="shared" si="14"/>
        <v>12.788674033149171</v>
      </c>
      <c r="AG44" s="12">
        <v>9975</v>
      </c>
      <c r="AH44" s="11" t="s">
        <v>8</v>
      </c>
      <c r="AI44" s="13">
        <f t="shared" si="15"/>
        <v>13.777624309392266</v>
      </c>
      <c r="AJ44" s="12">
        <f t="shared" si="39"/>
        <v>97445.774999999994</v>
      </c>
      <c r="AK44" s="13">
        <f t="shared" si="17"/>
        <v>134.59361187845303</v>
      </c>
      <c r="AM44" s="13">
        <f t="shared" si="18"/>
        <v>147.3822859116022</v>
      </c>
      <c r="AO44" s="34">
        <f t="shared" si="19"/>
        <v>1</v>
      </c>
      <c r="AQ44" s="56"/>
      <c r="AR44" s="56"/>
      <c r="AS44" s="51"/>
      <c r="AT44" s="51"/>
      <c r="AU44" s="51"/>
      <c r="AV44" s="57"/>
      <c r="AW44" s="56"/>
      <c r="AX44" s="51"/>
      <c r="AY44" s="56"/>
      <c r="AZ44" s="57"/>
      <c r="BA44" s="51"/>
      <c r="BB44" s="57"/>
      <c r="BC44" s="57"/>
      <c r="BD44" s="57">
        <f t="shared" si="42"/>
        <v>0</v>
      </c>
      <c r="BF44" s="65" t="s">
        <v>77</v>
      </c>
      <c r="BG44" s="5"/>
      <c r="BH44" s="5"/>
      <c r="BI44" s="5"/>
      <c r="BK44" s="5">
        <v>39</v>
      </c>
    </row>
    <row r="45" spans="1:63" x14ac:dyDescent="0.2">
      <c r="A45" s="5">
        <v>39</v>
      </c>
      <c r="C45" s="2">
        <v>39</v>
      </c>
      <c r="D45" s="2">
        <v>39</v>
      </c>
      <c r="E45" s="8">
        <v>400</v>
      </c>
      <c r="F45" s="8">
        <v>1971</v>
      </c>
      <c r="G45" s="7" t="s">
        <v>70</v>
      </c>
      <c r="H45" s="2"/>
      <c r="I45" s="23">
        <v>400</v>
      </c>
      <c r="J45" s="23"/>
      <c r="K45" s="12">
        <v>2783</v>
      </c>
      <c r="L45" s="12">
        <v>5911</v>
      </c>
      <c r="M45" s="12">
        <f t="shared" si="35"/>
        <v>8694</v>
      </c>
      <c r="N45" s="13">
        <f t="shared" si="36"/>
        <v>21.734999999999999</v>
      </c>
      <c r="P45" s="12">
        <f>4550+2900</f>
        <v>7450</v>
      </c>
      <c r="Q45" s="11" t="s">
        <v>8</v>
      </c>
      <c r="R45" s="13">
        <f t="shared" si="22"/>
        <v>18.625</v>
      </c>
      <c r="S45" s="12">
        <f t="shared" si="38"/>
        <v>72779.05</v>
      </c>
      <c r="T45" s="13">
        <f t="shared" si="24"/>
        <v>181.94762500000002</v>
      </c>
      <c r="V45" s="13">
        <f t="shared" si="25"/>
        <v>203.68262500000003</v>
      </c>
      <c r="X45" s="34">
        <f t="shared" si="26"/>
        <v>-2.2062461145127141E-2</v>
      </c>
      <c r="Z45" s="11">
        <v>400</v>
      </c>
      <c r="AB45" s="12">
        <v>2783</v>
      </c>
      <c r="AC45" s="12">
        <v>5911</v>
      </c>
      <c r="AD45" s="12">
        <f t="shared" si="37"/>
        <v>8694</v>
      </c>
      <c r="AE45" s="13">
        <f t="shared" si="14"/>
        <v>21.734999999999999</v>
      </c>
      <c r="AG45" s="12">
        <v>7634</v>
      </c>
      <c r="AH45" s="11" t="s">
        <v>8</v>
      </c>
      <c r="AI45" s="13">
        <f t="shared" si="15"/>
        <v>19.085000000000001</v>
      </c>
      <c r="AJ45" s="12">
        <f t="shared" si="39"/>
        <v>74576.546000000002</v>
      </c>
      <c r="AK45" s="13">
        <f t="shared" si="17"/>
        <v>186.44136500000002</v>
      </c>
      <c r="AM45" s="13">
        <f t="shared" si="18"/>
        <v>208.17636500000003</v>
      </c>
      <c r="AO45" s="34">
        <f t="shared" si="19"/>
        <v>0.49671760288445821</v>
      </c>
      <c r="AQ45" s="11">
        <f>Z45</f>
        <v>400</v>
      </c>
      <c r="AS45" s="12">
        <f>AB45</f>
        <v>2783</v>
      </c>
      <c r="AT45" s="12">
        <f>AC45</f>
        <v>5911</v>
      </c>
      <c r="AU45" s="12">
        <f>AD45</f>
        <v>8694</v>
      </c>
      <c r="AV45" s="53">
        <f>AU45/AQ45</f>
        <v>21.734999999999999</v>
      </c>
      <c r="AX45" s="12">
        <f>AQ45*AZ45</f>
        <v>3400</v>
      </c>
      <c r="AY45" s="11" t="str">
        <f>AH45</f>
        <v>m3</v>
      </c>
      <c r="AZ45" s="59">
        <v>8.5</v>
      </c>
      <c r="BA45" s="12">
        <f>AX45*9.769</f>
        <v>33214.6</v>
      </c>
      <c r="BB45" s="13">
        <f>BA45/AQ45</f>
        <v>83.03649999999999</v>
      </c>
      <c r="BC45" s="53"/>
      <c r="BD45" s="53">
        <f t="shared" si="42"/>
        <v>104.77149999999999</v>
      </c>
      <c r="BF45" s="65" t="s">
        <v>55</v>
      </c>
      <c r="BG45" s="10">
        <v>2029</v>
      </c>
      <c r="BH45" s="10">
        <v>2029</v>
      </c>
      <c r="BI45" s="10">
        <v>2029</v>
      </c>
      <c r="BK45" s="5">
        <v>40</v>
      </c>
    </row>
    <row r="46" spans="1:63" x14ac:dyDescent="0.2">
      <c r="A46" s="5">
        <v>40</v>
      </c>
      <c r="C46" s="1">
        <v>40</v>
      </c>
      <c r="D46" s="1">
        <v>40</v>
      </c>
      <c r="E46" s="8">
        <v>7601</v>
      </c>
      <c r="F46" s="8">
        <v>2021</v>
      </c>
      <c r="G46" s="7" t="s">
        <v>71</v>
      </c>
      <c r="H46" s="2"/>
      <c r="I46" s="23"/>
      <c r="J46" s="23"/>
      <c r="X46" s="34"/>
      <c r="AB46" s="12"/>
      <c r="AC46" s="12"/>
      <c r="AD46" s="12"/>
      <c r="AE46" s="13"/>
      <c r="AG46" s="12"/>
      <c r="AI46" s="13"/>
      <c r="AJ46" s="12"/>
      <c r="AK46" s="13"/>
      <c r="AM46" s="13"/>
      <c r="AO46" s="34"/>
      <c r="AQ46" s="36">
        <v>7601</v>
      </c>
      <c r="AR46" s="36"/>
      <c r="AS46" s="35"/>
      <c r="AT46" s="35"/>
      <c r="AU46" s="35">
        <f>AQ46*AV46</f>
        <v>228030</v>
      </c>
      <c r="AV46" s="37">
        <v>30</v>
      </c>
      <c r="AW46" s="36"/>
      <c r="AX46" s="36"/>
      <c r="AY46" s="36" t="s">
        <v>72</v>
      </c>
      <c r="AZ46" s="36"/>
      <c r="BA46" s="36"/>
      <c r="BB46" s="36"/>
      <c r="BC46" s="36"/>
      <c r="BD46" s="37">
        <f t="shared" si="42"/>
        <v>30</v>
      </c>
      <c r="BF46" s="65" t="s">
        <v>38</v>
      </c>
      <c r="BG46" s="5"/>
      <c r="BH46" s="5"/>
      <c r="BI46" s="5"/>
      <c r="BK46" s="5">
        <v>41</v>
      </c>
    </row>
    <row r="47" spans="1:63" x14ac:dyDescent="0.2">
      <c r="A47" s="5">
        <v>41</v>
      </c>
      <c r="C47" s="2">
        <v>41</v>
      </c>
      <c r="D47" s="2">
        <v>41</v>
      </c>
      <c r="E47" s="8">
        <v>1158</v>
      </c>
      <c r="F47" s="8">
        <v>2001</v>
      </c>
      <c r="G47" s="7" t="s">
        <v>70</v>
      </c>
      <c r="H47" s="2"/>
      <c r="I47" s="23">
        <v>1158</v>
      </c>
      <c r="J47" s="23"/>
      <c r="K47" s="12">
        <v>24342</v>
      </c>
      <c r="L47" s="12">
        <v>38728</v>
      </c>
      <c r="M47" s="12">
        <f>K47+L47</f>
        <v>63070</v>
      </c>
      <c r="N47" s="13">
        <f>M47/I47</f>
        <v>54.464594127806564</v>
      </c>
      <c r="P47" s="12">
        <v>10986</v>
      </c>
      <c r="Q47" s="11" t="s">
        <v>8</v>
      </c>
      <c r="R47" s="13">
        <f>P47/I47</f>
        <v>9.4870466321243523</v>
      </c>
      <c r="S47" s="12">
        <f>P47*9.769</f>
        <v>107322.234</v>
      </c>
      <c r="T47" s="13">
        <f>S47/I47</f>
        <v>92.678958549222799</v>
      </c>
      <c r="V47" s="13">
        <f>N47+T47</f>
        <v>147.14355267702936</v>
      </c>
      <c r="X47" s="34">
        <f>(V47-AM47)/V47</f>
        <v>-2.5243685695206061E-2</v>
      </c>
      <c r="Z47" s="11">
        <v>1158</v>
      </c>
      <c r="AB47" s="12">
        <v>33635</v>
      </c>
      <c r="AC47" s="12">
        <v>44365</v>
      </c>
      <c r="AD47" s="12">
        <f>AB47+AC47</f>
        <v>78000</v>
      </c>
      <c r="AE47" s="13">
        <f>AD47/Z47</f>
        <v>67.357512953367873</v>
      </c>
      <c r="AG47" s="12">
        <v>9898</v>
      </c>
      <c r="AH47" s="11" t="s">
        <v>8</v>
      </c>
      <c r="AI47" s="13">
        <f>AG47/Z47</f>
        <v>8.5474956822107089</v>
      </c>
      <c r="AJ47" s="12">
        <f>AG47*9.769</f>
        <v>96693.562000000005</v>
      </c>
      <c r="AK47" s="13">
        <f>AJ47/Z47</f>
        <v>83.500485319516415</v>
      </c>
      <c r="AM47" s="13">
        <f>AE47+AK47</f>
        <v>150.85799827288429</v>
      </c>
      <c r="AO47" s="34">
        <f>(AM47-BD47)/AM47</f>
        <v>0</v>
      </c>
      <c r="AQ47" s="11">
        <f>Z47</f>
        <v>1158</v>
      </c>
      <c r="AS47" s="12">
        <f>AB47</f>
        <v>33635</v>
      </c>
      <c r="AT47" s="12">
        <f>AC47</f>
        <v>44365</v>
      </c>
      <c r="AU47" s="12">
        <f>AD47</f>
        <v>78000</v>
      </c>
      <c r="AV47" s="53">
        <f>AU47/AQ47</f>
        <v>67.357512953367873</v>
      </c>
      <c r="AX47" s="12">
        <f>AQ47*AZ47</f>
        <v>9898</v>
      </c>
      <c r="AY47" s="11" t="str">
        <f>AH47</f>
        <v>m3</v>
      </c>
      <c r="AZ47" s="53">
        <f>AI47</f>
        <v>8.5474956822107089</v>
      </c>
      <c r="BA47" s="12">
        <f>AX47*9.769</f>
        <v>96693.562000000005</v>
      </c>
      <c r="BB47" s="13">
        <f>BA47/AQ47</f>
        <v>83.500485319516415</v>
      </c>
      <c r="BC47" s="53"/>
      <c r="BD47" s="53">
        <f t="shared" si="42"/>
        <v>150.85799827288429</v>
      </c>
      <c r="BG47" s="10" t="s">
        <v>66</v>
      </c>
      <c r="BH47" s="10"/>
      <c r="BI47" s="10"/>
      <c r="BK47" s="5">
        <v>42</v>
      </c>
    </row>
    <row r="48" spans="1:63" x14ac:dyDescent="0.2">
      <c r="A48" s="5">
        <v>42</v>
      </c>
      <c r="C48" s="2">
        <v>42</v>
      </c>
      <c r="D48" s="2">
        <v>42</v>
      </c>
      <c r="E48" s="8">
        <v>1689</v>
      </c>
      <c r="F48" s="8">
        <v>1963</v>
      </c>
      <c r="G48" s="7" t="s">
        <v>70</v>
      </c>
      <c r="H48" s="2"/>
      <c r="I48" s="23">
        <v>1689</v>
      </c>
      <c r="J48" s="23"/>
      <c r="K48" s="12">
        <v>9946</v>
      </c>
      <c r="L48" s="12">
        <v>27028</v>
      </c>
      <c r="M48" s="12">
        <f>K48+L48</f>
        <v>36974</v>
      </c>
      <c r="N48" s="13">
        <f>M48/I48</f>
        <v>21.891059798697455</v>
      </c>
      <c r="P48" s="12">
        <v>21101</v>
      </c>
      <c r="Q48" s="11" t="s">
        <v>8</v>
      </c>
      <c r="R48" s="13">
        <f>P48/I48</f>
        <v>12.493191237418591</v>
      </c>
      <c r="S48" s="12">
        <f>P48*9.769</f>
        <v>206135.66899999999</v>
      </c>
      <c r="T48" s="13">
        <f>S48/I48</f>
        <v>122.04598519834221</v>
      </c>
      <c r="V48" s="13">
        <f t="shared" ref="V48:V51" si="43">N48+T48</f>
        <v>143.93704499703966</v>
      </c>
      <c r="X48" s="34">
        <f>(V48-AM48)/V48</f>
        <v>1.4080344949175979E-2</v>
      </c>
      <c r="Z48" s="11">
        <v>1689</v>
      </c>
      <c r="AB48" s="12">
        <v>9592</v>
      </c>
      <c r="AC48" s="12">
        <v>27593</v>
      </c>
      <c r="AD48" s="12">
        <f>AB48+AC48</f>
        <v>37185</v>
      </c>
      <c r="AE48" s="13">
        <f>AD48/Z48</f>
        <v>22.015985790408525</v>
      </c>
      <c r="AG48" s="12">
        <v>20729</v>
      </c>
      <c r="AH48" s="11" t="s">
        <v>8</v>
      </c>
      <c r="AI48" s="13">
        <f>AG48/Z48</f>
        <v>12.272942569567791</v>
      </c>
      <c r="AJ48" s="12">
        <f>AG48*9.769</f>
        <v>202501.601</v>
      </c>
      <c r="AK48" s="13">
        <f>AJ48/Z48</f>
        <v>119.89437596210776</v>
      </c>
      <c r="AM48" s="13">
        <f>AE48+AK48</f>
        <v>141.91036175251628</v>
      </c>
      <c r="AO48" s="34">
        <f>(AM48-BD48)/AM48</f>
        <v>0.78859894633826444</v>
      </c>
      <c r="AQ48" s="36">
        <v>4000</v>
      </c>
      <c r="AR48" s="36"/>
      <c r="AS48" s="35"/>
      <c r="AT48" s="35"/>
      <c r="AU48" s="35">
        <f>AQ48*AV48</f>
        <v>120000</v>
      </c>
      <c r="AV48" s="37">
        <v>30</v>
      </c>
      <c r="AW48" s="36"/>
      <c r="AX48" s="36"/>
      <c r="AY48" s="36" t="s">
        <v>72</v>
      </c>
      <c r="AZ48" s="36"/>
      <c r="BA48" s="36"/>
      <c r="BB48" s="36"/>
      <c r="BC48" s="36"/>
      <c r="BD48" s="37">
        <f>AV48+BB48</f>
        <v>30</v>
      </c>
      <c r="BF48" s="65" t="s">
        <v>78</v>
      </c>
      <c r="BG48" s="5"/>
      <c r="BH48" s="5"/>
      <c r="BI48" s="5"/>
      <c r="BK48" s="5">
        <v>45</v>
      </c>
    </row>
    <row r="49" spans="1:63" x14ac:dyDescent="0.2">
      <c r="A49" s="5">
        <v>43</v>
      </c>
      <c r="C49" s="1">
        <v>43</v>
      </c>
      <c r="D49" s="1">
        <v>43</v>
      </c>
      <c r="E49" s="8">
        <v>2394</v>
      </c>
      <c r="F49" s="8">
        <v>1980</v>
      </c>
      <c r="G49" s="7" t="s">
        <v>71</v>
      </c>
      <c r="H49" s="2"/>
      <c r="I49" s="23">
        <v>2394</v>
      </c>
      <c r="J49" s="23"/>
      <c r="K49" s="12">
        <v>18849</v>
      </c>
      <c r="L49" s="12">
        <v>52406</v>
      </c>
      <c r="M49" s="12">
        <f>K49+L49</f>
        <v>71255</v>
      </c>
      <c r="N49" s="13">
        <f>M49/I49</f>
        <v>29.763993316624894</v>
      </c>
      <c r="P49" s="12">
        <v>33531</v>
      </c>
      <c r="Q49" s="11" t="s">
        <v>8</v>
      </c>
      <c r="R49" s="13">
        <f>P49/I49</f>
        <v>14.0062656641604</v>
      </c>
      <c r="S49" s="12">
        <f>P49*9.769</f>
        <v>327564.33899999998</v>
      </c>
      <c r="T49" s="13">
        <f>S49/I49</f>
        <v>136.82720927318294</v>
      </c>
      <c r="V49" s="13">
        <f t="shared" si="43"/>
        <v>166.59120258980784</v>
      </c>
      <c r="X49" s="34">
        <f>(V49-AM49)/V49</f>
        <v>0.13022083164327175</v>
      </c>
      <c r="Z49" s="11">
        <v>2394</v>
      </c>
      <c r="AB49" s="12">
        <v>19958</v>
      </c>
      <c r="AC49" s="12">
        <v>55964</v>
      </c>
      <c r="AD49" s="12">
        <f>AB49+AC49</f>
        <v>75922</v>
      </c>
      <c r="AE49" s="13">
        <f>AD49/Z49</f>
        <v>31.71345029239766</v>
      </c>
      <c r="AG49" s="12">
        <v>27737</v>
      </c>
      <c r="AH49" s="11" t="s">
        <v>8</v>
      </c>
      <c r="AI49" s="13">
        <f>AG49/Z49</f>
        <v>11.586048454469507</v>
      </c>
      <c r="AJ49" s="12">
        <f>AG49*9.769</f>
        <v>270962.75300000003</v>
      </c>
      <c r="AK49" s="13">
        <f>AJ49/Z49</f>
        <v>113.18410735171263</v>
      </c>
      <c r="AM49" s="13">
        <f>AE49+AK49</f>
        <v>144.89755764411029</v>
      </c>
      <c r="AO49" s="34">
        <f>(AM49-BD49)/AM49</f>
        <v>0.20806152872334521</v>
      </c>
      <c r="AQ49" s="11">
        <f>Z49</f>
        <v>2394</v>
      </c>
      <c r="AS49" s="12">
        <f t="shared" ref="AS49:AU50" si="44">AB49</f>
        <v>19958</v>
      </c>
      <c r="AT49" s="12">
        <f t="shared" si="44"/>
        <v>55964</v>
      </c>
      <c r="AU49" s="12">
        <f t="shared" si="44"/>
        <v>75922</v>
      </c>
      <c r="AV49" s="53">
        <f>AU49/AQ49</f>
        <v>31.71345029239766</v>
      </c>
      <c r="AX49" s="12">
        <f>AQ49*AZ49</f>
        <v>20349</v>
      </c>
      <c r="AY49" s="11" t="str">
        <f t="shared" ref="AX49:AZ50" si="45">AH49</f>
        <v>m3</v>
      </c>
      <c r="AZ49" s="59">
        <v>8.5</v>
      </c>
      <c r="BA49" s="12">
        <f>AX49*9.769</f>
        <v>198789.38099999999</v>
      </c>
      <c r="BB49" s="13">
        <f>BA49/AQ49</f>
        <v>83.036500000000004</v>
      </c>
      <c r="BC49" s="53"/>
      <c r="BD49" s="53">
        <f>AV49+BB49</f>
        <v>114.74995029239767</v>
      </c>
      <c r="BG49" s="10">
        <v>2029</v>
      </c>
      <c r="BH49" s="10">
        <v>2029</v>
      </c>
      <c r="BI49" s="10">
        <v>2029</v>
      </c>
      <c r="BK49" s="5">
        <v>46</v>
      </c>
    </row>
    <row r="50" spans="1:63" x14ac:dyDescent="0.2">
      <c r="A50" s="5">
        <v>44</v>
      </c>
      <c r="C50" s="2">
        <v>44</v>
      </c>
      <c r="D50" s="2">
        <v>44</v>
      </c>
      <c r="E50" s="8">
        <v>1747</v>
      </c>
      <c r="F50" s="8">
        <v>1960</v>
      </c>
      <c r="G50" s="7" t="s">
        <v>70</v>
      </c>
      <c r="H50" s="2"/>
      <c r="I50" s="23">
        <v>1747</v>
      </c>
      <c r="J50" s="23"/>
      <c r="K50" s="12">
        <v>22630</v>
      </c>
      <c r="L50" s="12">
        <v>25795</v>
      </c>
      <c r="M50" s="12">
        <f>K50+L50</f>
        <v>48425</v>
      </c>
      <c r="N50" s="13">
        <f>M50/I50</f>
        <v>27.718946765884372</v>
      </c>
      <c r="P50" s="12">
        <v>23435</v>
      </c>
      <c r="Q50" s="11" t="s">
        <v>8</v>
      </c>
      <c r="R50" s="13">
        <f>P50/I50</f>
        <v>13.414424728105324</v>
      </c>
      <c r="S50" s="12">
        <f>P50*9.769</f>
        <v>228936.51500000001</v>
      </c>
      <c r="T50" s="13">
        <f>S50/I50</f>
        <v>131.0455151688609</v>
      </c>
      <c r="V50" s="13">
        <f t="shared" si="43"/>
        <v>158.76446193474527</v>
      </c>
      <c r="X50" s="34">
        <f>(V50-AM50)/V50</f>
        <v>3.1043888695227611E-3</v>
      </c>
      <c r="Z50" s="11">
        <v>1747</v>
      </c>
      <c r="AB50" s="12">
        <v>17420</v>
      </c>
      <c r="AC50" s="12">
        <v>25279</v>
      </c>
      <c r="AD50" s="12">
        <f>AB50+AC50</f>
        <v>42699</v>
      </c>
      <c r="AE50" s="13">
        <f>AD50/Z50</f>
        <v>24.441327990841444</v>
      </c>
      <c r="AG50" s="12">
        <v>23933</v>
      </c>
      <c r="AH50" s="11" t="s">
        <v>8</v>
      </c>
      <c r="AI50" s="13">
        <f>AG50/Z50</f>
        <v>13.699484831139095</v>
      </c>
      <c r="AJ50" s="12">
        <f>AG50*9.769</f>
        <v>233801.47700000001</v>
      </c>
      <c r="AK50" s="13">
        <f>AJ50/Z50</f>
        <v>133.83026731539783</v>
      </c>
      <c r="AM50" s="13">
        <f>AE50+AK50</f>
        <v>158.27159530623928</v>
      </c>
      <c r="AO50" s="34">
        <f>(AM50-BD50)/AM50</f>
        <v>0.32092787854394916</v>
      </c>
      <c r="AQ50" s="11">
        <f>Z50</f>
        <v>1747</v>
      </c>
      <c r="AS50" s="12">
        <f t="shared" si="44"/>
        <v>17420</v>
      </c>
      <c r="AT50" s="12">
        <f t="shared" si="44"/>
        <v>25279</v>
      </c>
      <c r="AU50" s="12">
        <f t="shared" si="44"/>
        <v>42699</v>
      </c>
      <c r="AV50" s="53">
        <f>AU50/AQ50</f>
        <v>24.441327990841444</v>
      </c>
      <c r="AX50" s="12">
        <f>AQ50*AZ50</f>
        <v>14849.5</v>
      </c>
      <c r="AY50" s="11" t="str">
        <f t="shared" si="45"/>
        <v>m3</v>
      </c>
      <c r="AZ50" s="59">
        <v>8.5</v>
      </c>
      <c r="BA50" s="12">
        <f>AX50*9.769</f>
        <v>145064.76550000001</v>
      </c>
      <c r="BB50" s="13">
        <f>BA50/AQ50</f>
        <v>83.036500000000004</v>
      </c>
      <c r="BC50" s="53"/>
      <c r="BD50" s="53">
        <f>AV50+BB50</f>
        <v>107.47782799084145</v>
      </c>
      <c r="BG50" s="10">
        <v>2029</v>
      </c>
      <c r="BH50" s="10">
        <v>2029</v>
      </c>
      <c r="BI50" s="10">
        <v>2029</v>
      </c>
      <c r="BK50" s="5">
        <v>47</v>
      </c>
    </row>
    <row r="51" spans="1:63" x14ac:dyDescent="0.2">
      <c r="A51" s="5">
        <v>45</v>
      </c>
      <c r="C51" s="2">
        <v>45</v>
      </c>
      <c r="D51" s="2">
        <v>45</v>
      </c>
      <c r="E51" s="8">
        <v>2217</v>
      </c>
      <c r="F51" s="8">
        <v>1927</v>
      </c>
      <c r="G51" s="7" t="s">
        <v>71</v>
      </c>
      <c r="H51" s="2"/>
      <c r="I51" s="23">
        <v>2217</v>
      </c>
      <c r="J51" s="23"/>
      <c r="K51" s="12">
        <v>27996</v>
      </c>
      <c r="L51" s="12">
        <v>62404</v>
      </c>
      <c r="M51" s="12">
        <f>K51+L51</f>
        <v>90400</v>
      </c>
      <c r="N51" s="13">
        <f>M51/I51</f>
        <v>40.775823184483535</v>
      </c>
      <c r="P51" s="12">
        <v>33760</v>
      </c>
      <c r="Q51" s="11" t="s">
        <v>8</v>
      </c>
      <c r="R51" s="13">
        <f>P51/I51</f>
        <v>15.227785295444294</v>
      </c>
      <c r="S51" s="12">
        <f>P51*9.769</f>
        <v>329801.44</v>
      </c>
      <c r="T51" s="13">
        <f>S51/I51</f>
        <v>148.76023455119531</v>
      </c>
      <c r="V51" s="13">
        <f t="shared" si="43"/>
        <v>189.53605773567884</v>
      </c>
      <c r="X51" s="34">
        <f>(V51-AM51)/V51</f>
        <v>-2.499189436380909E-3</v>
      </c>
      <c r="Z51" s="11">
        <v>2217</v>
      </c>
      <c r="AB51" s="12">
        <v>26332</v>
      </c>
      <c r="AC51" s="12">
        <v>58993</v>
      </c>
      <c r="AD51" s="12">
        <f>AB51+AC51</f>
        <v>85325</v>
      </c>
      <c r="AE51" s="13">
        <f>AD51/Z51</f>
        <v>38.486693730266126</v>
      </c>
      <c r="AG51" s="12">
        <v>34387</v>
      </c>
      <c r="AH51" s="11" t="s">
        <v>8</v>
      </c>
      <c r="AI51" s="13">
        <f>AG51/Z51</f>
        <v>15.510599909788002</v>
      </c>
      <c r="AJ51" s="12">
        <f>AG51*9.769</f>
        <v>335926.603</v>
      </c>
      <c r="AK51" s="13">
        <f>AJ51/Z51</f>
        <v>151.523050518719</v>
      </c>
      <c r="AM51" s="13">
        <f>AE51+AK51</f>
        <v>190.00974424898513</v>
      </c>
      <c r="AO51" s="34">
        <f>(AM51-BD51)/AM51</f>
        <v>0.78948448060861154</v>
      </c>
      <c r="AQ51" s="36">
        <f>Z51</f>
        <v>2217</v>
      </c>
      <c r="AR51" s="36"/>
      <c r="AS51" s="35"/>
      <c r="AT51" s="35"/>
      <c r="AU51" s="35">
        <f>AQ51*AV51</f>
        <v>88680</v>
      </c>
      <c r="AV51" s="59">
        <v>40</v>
      </c>
      <c r="AW51" s="36"/>
      <c r="AX51" s="35"/>
      <c r="AY51" s="36" t="s">
        <v>72</v>
      </c>
      <c r="AZ51" s="59"/>
      <c r="BA51" s="35"/>
      <c r="BB51" s="59"/>
      <c r="BC51" s="59"/>
      <c r="BD51" s="59">
        <f>AV51+BB51</f>
        <v>40</v>
      </c>
      <c r="BF51" s="65" t="s">
        <v>36</v>
      </c>
      <c r="BG51" s="5"/>
      <c r="BH51" s="5"/>
      <c r="BI51" s="5"/>
      <c r="BK51" s="5">
        <v>48</v>
      </c>
    </row>
    <row r="52" spans="1:63" x14ac:dyDescent="0.2">
      <c r="A52" s="5">
        <v>46</v>
      </c>
      <c r="C52" s="1">
        <v>46</v>
      </c>
      <c r="D52" s="1">
        <v>46</v>
      </c>
      <c r="E52" s="8">
        <v>2886</v>
      </c>
      <c r="F52" s="8">
        <v>1918</v>
      </c>
      <c r="G52" s="7" t="s">
        <v>70</v>
      </c>
      <c r="H52" s="2"/>
      <c r="I52" s="23">
        <v>2886</v>
      </c>
      <c r="J52" s="23"/>
      <c r="K52" s="12">
        <v>37826</v>
      </c>
      <c r="L52" s="12">
        <v>53665</v>
      </c>
      <c r="M52" s="12">
        <f t="shared" ref="M52:M70" si="46">K52+L52</f>
        <v>91491</v>
      </c>
      <c r="N52" s="13">
        <f t="shared" ref="N52:N70" si="47">M52/I52</f>
        <v>31.701663201663202</v>
      </c>
      <c r="P52" s="12">
        <f>11269+70671</f>
        <v>81940</v>
      </c>
      <c r="Q52" s="11" t="s">
        <v>8</v>
      </c>
      <c r="R52" s="13">
        <f t="shared" ref="R52:R70" si="48">P52/I52</f>
        <v>28.392238392238394</v>
      </c>
      <c r="S52" s="12">
        <f t="shared" ref="S52:S59" si="49">P52*9.769</f>
        <v>800471.86</v>
      </c>
      <c r="T52" s="13">
        <f t="shared" ref="T52:T70" si="50">S52/I52</f>
        <v>277.36377685377687</v>
      </c>
      <c r="V52" s="13">
        <f t="shared" ref="V52:V70" si="51">N52+T52</f>
        <v>309.06544005544009</v>
      </c>
      <c r="X52" s="34">
        <f t="shared" ref="X52:X70" si="52">(V52-AM52)/V52</f>
        <v>2.0040375896368715E-2</v>
      </c>
      <c r="Z52" s="11">
        <v>2886</v>
      </c>
      <c r="AB52" s="12">
        <v>31287</v>
      </c>
      <c r="AC52" s="12">
        <v>53651</v>
      </c>
      <c r="AD52" s="12">
        <f t="shared" ref="AD52:AD70" si="53">AB52+AC52</f>
        <v>84938</v>
      </c>
      <c r="AE52" s="13">
        <f t="shared" ref="AE52:AE70" si="54">AD52/Z52</f>
        <v>29.431046431046433</v>
      </c>
      <c r="AG52" s="12">
        <f>6538+4586+69657</f>
        <v>80781</v>
      </c>
      <c r="AH52" s="11" t="s">
        <v>8</v>
      </c>
      <c r="AI52" s="13">
        <f t="shared" ref="AI52:AI70" si="55">AG52/Z52</f>
        <v>27.990644490644492</v>
      </c>
      <c r="AJ52" s="12">
        <f t="shared" ref="AJ52:AJ59" si="56">AG52*9.769</f>
        <v>789149.58900000004</v>
      </c>
      <c r="AK52" s="13">
        <f t="shared" ref="AK52:AK70" si="57">AJ52/Z52</f>
        <v>273.44060602910605</v>
      </c>
      <c r="AM52" s="13">
        <f t="shared" ref="AM52:AM70" si="58">AE52+AK52</f>
        <v>302.87165246015246</v>
      </c>
      <c r="AO52" s="34">
        <f t="shared" ref="AO52:AO70" si="59">(AM52-BD52)/AM52</f>
        <v>0.62866268428392025</v>
      </c>
      <c r="AQ52" s="11">
        <f t="shared" ref="AQ52:AQ63" si="60">Z52</f>
        <v>2886</v>
      </c>
      <c r="AS52" s="12">
        <f t="shared" ref="AS52:AS56" si="61">AB52</f>
        <v>31287</v>
      </c>
      <c r="AT52" s="12">
        <f t="shared" ref="AT52:AT56" si="62">AC52</f>
        <v>53651</v>
      </c>
      <c r="AU52" s="12">
        <f>AD52</f>
        <v>84938</v>
      </c>
      <c r="AV52" s="53">
        <f>AU52/AQ52</f>
        <v>29.431046431046433</v>
      </c>
      <c r="AX52" s="12">
        <f>AQ52*AZ52</f>
        <v>24531</v>
      </c>
      <c r="AY52" s="11" t="str">
        <f>AH52</f>
        <v>m3</v>
      </c>
      <c r="AZ52" s="74">
        <v>8.5</v>
      </c>
      <c r="BA52" s="12">
        <f>AX52*9.769</f>
        <v>239643.33900000001</v>
      </c>
      <c r="BB52" s="13">
        <f>BA52/AQ52</f>
        <v>83.036500000000004</v>
      </c>
      <c r="BC52" s="53"/>
      <c r="BD52" s="53">
        <f t="shared" ref="BD52:BD90" si="63">AV52+BB52</f>
        <v>112.46754643104643</v>
      </c>
      <c r="BF52" s="65" t="s">
        <v>62</v>
      </c>
      <c r="BG52" s="52">
        <v>2019</v>
      </c>
      <c r="BH52" s="52">
        <v>2019</v>
      </c>
      <c r="BI52" s="52">
        <v>2019</v>
      </c>
      <c r="BK52" s="5">
        <v>53</v>
      </c>
    </row>
    <row r="53" spans="1:63" x14ac:dyDescent="0.2">
      <c r="A53" s="5">
        <v>47</v>
      </c>
      <c r="C53" s="2">
        <v>47</v>
      </c>
      <c r="D53" s="2">
        <v>47</v>
      </c>
      <c r="E53" s="8">
        <v>306</v>
      </c>
      <c r="F53" s="8">
        <v>1929</v>
      </c>
      <c r="G53" s="7" t="s">
        <v>70</v>
      </c>
      <c r="H53" s="2"/>
      <c r="I53" s="23">
        <v>306</v>
      </c>
      <c r="J53" s="23"/>
      <c r="K53" s="12">
        <v>2797</v>
      </c>
      <c r="L53" s="12">
        <v>5577</v>
      </c>
      <c r="M53" s="12">
        <f t="shared" si="46"/>
        <v>8374</v>
      </c>
      <c r="N53" s="13">
        <f t="shared" si="47"/>
        <v>27.366013071895424</v>
      </c>
      <c r="R53" s="13">
        <f t="shared" si="48"/>
        <v>0</v>
      </c>
      <c r="S53" s="12">
        <f t="shared" si="49"/>
        <v>0</v>
      </c>
      <c r="T53" s="13">
        <f t="shared" si="50"/>
        <v>0</v>
      </c>
      <c r="V53" s="13">
        <f t="shared" si="51"/>
        <v>27.366013071895424</v>
      </c>
      <c r="X53" s="34">
        <f t="shared" si="52"/>
        <v>-5.230475280630531E-2</v>
      </c>
      <c r="Z53" s="11">
        <v>306</v>
      </c>
      <c r="AB53" s="12">
        <v>3159</v>
      </c>
      <c r="AC53" s="12">
        <v>5653</v>
      </c>
      <c r="AD53" s="12">
        <f t="shared" si="53"/>
        <v>8812</v>
      </c>
      <c r="AE53" s="13">
        <f t="shared" si="54"/>
        <v>28.797385620915033</v>
      </c>
      <c r="AG53" s="12"/>
      <c r="AI53" s="13">
        <f t="shared" si="55"/>
        <v>0</v>
      </c>
      <c r="AJ53" s="12">
        <f t="shared" si="56"/>
        <v>0</v>
      </c>
      <c r="AK53" s="13">
        <f t="shared" si="57"/>
        <v>0</v>
      </c>
      <c r="AM53" s="13">
        <f t="shared" si="58"/>
        <v>28.797385620915033</v>
      </c>
      <c r="AO53" s="34">
        <f t="shared" si="59"/>
        <v>0</v>
      </c>
      <c r="AQ53" s="11">
        <f t="shared" si="60"/>
        <v>306</v>
      </c>
      <c r="AS53" s="12">
        <f t="shared" si="61"/>
        <v>3159</v>
      </c>
      <c r="AT53" s="12">
        <f t="shared" si="62"/>
        <v>5653</v>
      </c>
      <c r="AU53" s="12">
        <f>AD53</f>
        <v>8812</v>
      </c>
      <c r="AV53" s="53">
        <f>AU53/AQ53</f>
        <v>28.797385620915033</v>
      </c>
      <c r="AX53" s="12">
        <f>AG53</f>
        <v>0</v>
      </c>
      <c r="AZ53" s="53">
        <f>AI53</f>
        <v>0</v>
      </c>
      <c r="BA53" s="12">
        <f>AX53*9.769</f>
        <v>0</v>
      </c>
      <c r="BB53" s="13">
        <f>BA53/AQ53</f>
        <v>0</v>
      </c>
      <c r="BC53" s="53"/>
      <c r="BD53" s="53">
        <f t="shared" si="63"/>
        <v>28.797385620915033</v>
      </c>
      <c r="BF53" s="65" t="s">
        <v>63</v>
      </c>
      <c r="BG53" s="5"/>
      <c r="BH53" s="5"/>
      <c r="BI53" s="5"/>
      <c r="BK53" s="5">
        <v>54</v>
      </c>
    </row>
    <row r="54" spans="1:63" x14ac:dyDescent="0.2">
      <c r="A54" s="5">
        <v>48</v>
      </c>
      <c r="C54" s="2">
        <v>48</v>
      </c>
      <c r="D54" s="2">
        <v>48</v>
      </c>
      <c r="E54" s="8">
        <v>1983</v>
      </c>
      <c r="F54" s="8">
        <v>1955</v>
      </c>
      <c r="G54" s="7" t="s">
        <v>71</v>
      </c>
      <c r="H54" s="2"/>
      <c r="I54" s="23">
        <v>1983</v>
      </c>
      <c r="J54" s="23"/>
      <c r="K54" s="12">
        <v>11993</v>
      </c>
      <c r="L54" s="12">
        <v>31429</v>
      </c>
      <c r="M54" s="12">
        <f t="shared" si="46"/>
        <v>43422</v>
      </c>
      <c r="N54" s="13">
        <f t="shared" si="47"/>
        <v>21.897125567322238</v>
      </c>
      <c r="P54" s="29">
        <v>18570</v>
      </c>
      <c r="Q54" s="11" t="s">
        <v>8</v>
      </c>
      <c r="R54" s="13">
        <f t="shared" si="48"/>
        <v>9.3645990922844167</v>
      </c>
      <c r="S54" s="12">
        <f t="shared" si="49"/>
        <v>181410.33000000002</v>
      </c>
      <c r="T54" s="13">
        <f t="shared" si="50"/>
        <v>91.482768532526478</v>
      </c>
      <c r="V54" s="13">
        <f t="shared" si="51"/>
        <v>113.37989409984871</v>
      </c>
      <c r="X54" s="34">
        <f t="shared" si="52"/>
        <v>-0.30416279544850156</v>
      </c>
      <c r="Z54" s="11">
        <v>1983</v>
      </c>
      <c r="AB54" s="12">
        <v>11095</v>
      </c>
      <c r="AC54" s="12">
        <v>29692</v>
      </c>
      <c r="AD54" s="12">
        <f t="shared" si="53"/>
        <v>40787</v>
      </c>
      <c r="AE54" s="13">
        <f t="shared" si="54"/>
        <v>20.568330811901159</v>
      </c>
      <c r="AG54" s="12">
        <v>25840</v>
      </c>
      <c r="AH54" s="11" t="s">
        <v>8</v>
      </c>
      <c r="AI54" s="13">
        <f t="shared" si="55"/>
        <v>13.030761472516389</v>
      </c>
      <c r="AJ54" s="12">
        <f t="shared" si="56"/>
        <v>252430.96</v>
      </c>
      <c r="AK54" s="13">
        <f t="shared" si="57"/>
        <v>127.2975088250126</v>
      </c>
      <c r="AM54" s="13">
        <f t="shared" si="58"/>
        <v>147.86583963691376</v>
      </c>
      <c r="AO54" s="34">
        <f t="shared" si="59"/>
        <v>0.299332211778569</v>
      </c>
      <c r="AQ54" s="11">
        <f t="shared" si="60"/>
        <v>1983</v>
      </c>
      <c r="AS54" s="12">
        <f t="shared" si="61"/>
        <v>11095</v>
      </c>
      <c r="AT54" s="12">
        <f t="shared" si="62"/>
        <v>29692</v>
      </c>
      <c r="AU54" s="12">
        <f>AD54</f>
        <v>40787</v>
      </c>
      <c r="AV54" s="53">
        <f>AU54/AQ54</f>
        <v>20.568330811901159</v>
      </c>
      <c r="AX54" s="12">
        <f>AQ54*AZ54</f>
        <v>16855.5</v>
      </c>
      <c r="AY54" s="11" t="str">
        <f>AH54</f>
        <v>m3</v>
      </c>
      <c r="AZ54" s="59">
        <v>8.5</v>
      </c>
      <c r="BA54" s="12">
        <f>AX54*9.769</f>
        <v>164661.37950000001</v>
      </c>
      <c r="BB54" s="13">
        <f>BA54/AQ54</f>
        <v>83.036500000000004</v>
      </c>
      <c r="BC54" s="53"/>
      <c r="BD54" s="53">
        <f t="shared" si="63"/>
        <v>103.60483081190117</v>
      </c>
      <c r="BG54" s="10">
        <v>2029</v>
      </c>
      <c r="BH54" s="10">
        <v>2029</v>
      </c>
      <c r="BI54" s="10">
        <v>2029</v>
      </c>
      <c r="BK54" s="5">
        <v>55</v>
      </c>
    </row>
    <row r="55" spans="1:63" x14ac:dyDescent="0.2">
      <c r="A55" s="5">
        <v>49</v>
      </c>
      <c r="C55" s="1">
        <v>49</v>
      </c>
      <c r="D55" s="1">
        <v>49</v>
      </c>
      <c r="E55" s="9">
        <v>1495</v>
      </c>
      <c r="F55" s="9">
        <v>1931</v>
      </c>
      <c r="G55" s="7" t="s">
        <v>70</v>
      </c>
      <c r="H55" s="3"/>
      <c r="I55" s="25">
        <v>1495</v>
      </c>
      <c r="J55" s="25"/>
      <c r="K55" s="12">
        <v>12499</v>
      </c>
      <c r="L55" s="12">
        <v>26406</v>
      </c>
      <c r="M55" s="12">
        <f t="shared" si="46"/>
        <v>38905</v>
      </c>
      <c r="N55" s="13">
        <f t="shared" si="47"/>
        <v>26.023411371237458</v>
      </c>
      <c r="P55" s="12">
        <v>12916</v>
      </c>
      <c r="Q55" s="11" t="s">
        <v>8</v>
      </c>
      <c r="R55" s="13">
        <f t="shared" si="48"/>
        <v>8.6394648829431446</v>
      </c>
      <c r="S55" s="12">
        <f t="shared" si="49"/>
        <v>126176.40399999999</v>
      </c>
      <c r="T55" s="13">
        <f t="shared" si="50"/>
        <v>84.398932441471572</v>
      </c>
      <c r="V55" s="13">
        <f t="shared" si="51"/>
        <v>110.42234381270903</v>
      </c>
      <c r="X55" s="34">
        <f t="shared" si="52"/>
        <v>-0.1352170169330521</v>
      </c>
      <c r="Z55" s="11">
        <v>1495</v>
      </c>
      <c r="AB55" s="12">
        <v>12765</v>
      </c>
      <c r="AC55" s="12">
        <v>27605</v>
      </c>
      <c r="AD55" s="12">
        <f t="shared" si="53"/>
        <v>40370</v>
      </c>
      <c r="AE55" s="13">
        <f t="shared" si="54"/>
        <v>27.00334448160535</v>
      </c>
      <c r="AG55" s="12">
        <v>15051</v>
      </c>
      <c r="AH55" s="11" t="s">
        <v>8</v>
      </c>
      <c r="AI55" s="13">
        <f t="shared" si="55"/>
        <v>10.067558528428094</v>
      </c>
      <c r="AJ55" s="12">
        <f t="shared" si="56"/>
        <v>147033.21900000001</v>
      </c>
      <c r="AK55" s="13">
        <f t="shared" si="57"/>
        <v>98.349979264214056</v>
      </c>
      <c r="AM55" s="13">
        <f t="shared" si="58"/>
        <v>125.35332374581941</v>
      </c>
      <c r="AO55" s="34">
        <f t="shared" si="59"/>
        <v>0.12216253073006182</v>
      </c>
      <c r="AQ55" s="11">
        <f t="shared" si="60"/>
        <v>1495</v>
      </c>
      <c r="AS55" s="12">
        <f t="shared" si="61"/>
        <v>12765</v>
      </c>
      <c r="AT55" s="12">
        <f t="shared" si="62"/>
        <v>27605</v>
      </c>
      <c r="AU55" s="12">
        <f>AD55</f>
        <v>40370</v>
      </c>
      <c r="AV55" s="53">
        <f>AU55/AQ55</f>
        <v>27.00334448160535</v>
      </c>
      <c r="AX55" s="12">
        <f>AQ55*AZ55</f>
        <v>12707.5</v>
      </c>
      <c r="AY55" s="11" t="str">
        <f>AH55</f>
        <v>m3</v>
      </c>
      <c r="AZ55" s="59">
        <v>8.5</v>
      </c>
      <c r="BA55" s="12">
        <f>AX55*9.769</f>
        <v>124139.5675</v>
      </c>
      <c r="BB55" s="13">
        <f>BA55/AQ55</f>
        <v>83.036500000000004</v>
      </c>
      <c r="BC55" s="53"/>
      <c r="BD55" s="53">
        <f t="shared" si="63"/>
        <v>110.03984448160536</v>
      </c>
      <c r="BG55" s="10">
        <v>2029</v>
      </c>
      <c r="BH55" s="10">
        <v>2029</v>
      </c>
      <c r="BI55" s="10">
        <v>2029</v>
      </c>
      <c r="BK55" s="5">
        <v>56</v>
      </c>
    </row>
    <row r="56" spans="1:63" x14ac:dyDescent="0.2">
      <c r="A56" s="5">
        <v>50</v>
      </c>
      <c r="C56" s="2">
        <v>50</v>
      </c>
      <c r="D56" s="2">
        <v>50</v>
      </c>
      <c r="E56" s="8">
        <v>1115</v>
      </c>
      <c r="F56" s="8">
        <v>1928</v>
      </c>
      <c r="G56" s="7" t="s">
        <v>70</v>
      </c>
      <c r="H56" s="2"/>
      <c r="I56" s="23">
        <v>1115</v>
      </c>
      <c r="J56" s="23"/>
      <c r="K56" s="12">
        <v>6791</v>
      </c>
      <c r="L56" s="12">
        <v>22265</v>
      </c>
      <c r="M56" s="12">
        <f t="shared" si="46"/>
        <v>29056</v>
      </c>
      <c r="N56" s="13">
        <f t="shared" si="47"/>
        <v>26.059192825112106</v>
      </c>
      <c r="P56" s="12">
        <v>14051</v>
      </c>
      <c r="Q56" s="11" t="s">
        <v>8</v>
      </c>
      <c r="R56" s="13">
        <f t="shared" si="48"/>
        <v>12.601793721973094</v>
      </c>
      <c r="S56" s="12">
        <f t="shared" si="49"/>
        <v>137264.21900000001</v>
      </c>
      <c r="T56" s="13">
        <f t="shared" si="50"/>
        <v>123.10692286995517</v>
      </c>
      <c r="V56" s="13">
        <f t="shared" si="51"/>
        <v>149.16611569506728</v>
      </c>
      <c r="X56" s="34">
        <f t="shared" si="52"/>
        <v>1.2800337883153056E-2</v>
      </c>
      <c r="Z56" s="11">
        <v>1115</v>
      </c>
      <c r="AB56" s="12">
        <v>7043</v>
      </c>
      <c r="AC56" s="12">
        <v>21789</v>
      </c>
      <c r="AD56" s="12">
        <f t="shared" si="53"/>
        <v>28832</v>
      </c>
      <c r="AE56" s="13">
        <f t="shared" si="54"/>
        <v>25.85829596412556</v>
      </c>
      <c r="AG56" s="12">
        <v>13856</v>
      </c>
      <c r="AH56" s="11" t="s">
        <v>8</v>
      </c>
      <c r="AI56" s="13">
        <f t="shared" si="55"/>
        <v>12.426905829596413</v>
      </c>
      <c r="AJ56" s="12">
        <f t="shared" si="56"/>
        <v>135359.264</v>
      </c>
      <c r="AK56" s="13">
        <f t="shared" si="57"/>
        <v>121.39844304932735</v>
      </c>
      <c r="AM56" s="13">
        <f t="shared" si="58"/>
        <v>147.25673901345291</v>
      </c>
      <c r="AO56" s="34">
        <f t="shared" si="59"/>
        <v>0.26051061096648853</v>
      </c>
      <c r="AQ56" s="11">
        <f t="shared" si="60"/>
        <v>1115</v>
      </c>
      <c r="AS56" s="12">
        <f t="shared" si="61"/>
        <v>7043</v>
      </c>
      <c r="AT56" s="12">
        <f t="shared" si="62"/>
        <v>21789</v>
      </c>
      <c r="AU56" s="12">
        <f>AD56</f>
        <v>28832</v>
      </c>
      <c r="AV56" s="53">
        <f>AU56/AQ56</f>
        <v>25.85829596412556</v>
      </c>
      <c r="AX56" s="12">
        <f>AQ56*AZ56</f>
        <v>9477.5</v>
      </c>
      <c r="AY56" s="11" t="str">
        <f>AH56</f>
        <v>m3</v>
      </c>
      <c r="AZ56" s="59">
        <v>8.5</v>
      </c>
      <c r="BA56" s="12">
        <f>AX56*9.769</f>
        <v>92585.697499999995</v>
      </c>
      <c r="BB56" s="13">
        <f>BA56/AQ56</f>
        <v>83.03649999999999</v>
      </c>
      <c r="BC56" s="53"/>
      <c r="BD56" s="53">
        <f t="shared" si="63"/>
        <v>108.89479596412555</v>
      </c>
      <c r="BG56" s="10">
        <v>2029</v>
      </c>
      <c r="BH56" s="10">
        <v>2029</v>
      </c>
      <c r="BI56" s="10">
        <v>2029</v>
      </c>
      <c r="BK56" s="5">
        <v>57</v>
      </c>
    </row>
    <row r="57" spans="1:63" x14ac:dyDescent="0.2">
      <c r="A57" s="5">
        <v>51</v>
      </c>
      <c r="C57" s="2">
        <v>51</v>
      </c>
      <c r="D57" s="2">
        <v>51</v>
      </c>
      <c r="E57" s="8">
        <v>1909</v>
      </c>
      <c r="F57" s="8">
        <v>1954</v>
      </c>
      <c r="G57" s="7" t="s">
        <v>71</v>
      </c>
      <c r="H57" s="2"/>
      <c r="I57" s="23">
        <v>1909</v>
      </c>
      <c r="J57" s="23"/>
      <c r="K57" s="12">
        <v>11578</v>
      </c>
      <c r="L57" s="12">
        <v>29590</v>
      </c>
      <c r="M57" s="12">
        <f t="shared" si="46"/>
        <v>41168</v>
      </c>
      <c r="N57" s="13">
        <f t="shared" si="47"/>
        <v>21.565217391304348</v>
      </c>
      <c r="P57" s="12">
        <v>32080</v>
      </c>
      <c r="Q57" s="11" t="s">
        <v>8</v>
      </c>
      <c r="R57" s="13">
        <f t="shared" si="48"/>
        <v>16.804609743321109</v>
      </c>
      <c r="S57" s="12">
        <f t="shared" si="49"/>
        <v>313389.52</v>
      </c>
      <c r="T57" s="13">
        <f t="shared" si="50"/>
        <v>164.16423258250393</v>
      </c>
      <c r="V57" s="13">
        <f t="shared" si="51"/>
        <v>185.72944997380827</v>
      </c>
      <c r="X57" s="34">
        <f t="shared" si="52"/>
        <v>-2.7754624975941888E-2</v>
      </c>
      <c r="Z57" s="11">
        <v>1909</v>
      </c>
      <c r="AB57" s="12">
        <v>11443</v>
      </c>
      <c r="AC57" s="12">
        <v>29611</v>
      </c>
      <c r="AD57" s="12">
        <f t="shared" si="53"/>
        <v>41054</v>
      </c>
      <c r="AE57" s="13">
        <f t="shared" si="54"/>
        <v>21.505500261917234</v>
      </c>
      <c r="AG57" s="12">
        <f>33096+3</f>
        <v>33099</v>
      </c>
      <c r="AH57" s="11" t="s">
        <v>8</v>
      </c>
      <c r="AI57" s="13">
        <f t="shared" si="55"/>
        <v>17.338397066526976</v>
      </c>
      <c r="AJ57" s="12">
        <f t="shared" si="56"/>
        <v>323344.13099999999</v>
      </c>
      <c r="AK57" s="13">
        <f t="shared" si="57"/>
        <v>169.37880094290205</v>
      </c>
      <c r="AM57" s="13">
        <f t="shared" si="58"/>
        <v>190.88430120481928</v>
      </c>
      <c r="AO57" s="34">
        <f t="shared" si="59"/>
        <v>0.84283673507644852</v>
      </c>
      <c r="AQ57" s="36">
        <f t="shared" si="60"/>
        <v>1909</v>
      </c>
      <c r="AR57" s="36"/>
      <c r="AS57" s="35"/>
      <c r="AT57" s="35"/>
      <c r="AU57" s="35">
        <f>AQ57*AV57</f>
        <v>57270</v>
      </c>
      <c r="AV57" s="37">
        <v>30</v>
      </c>
      <c r="AW57" s="36"/>
      <c r="AX57" s="36"/>
      <c r="AY57" s="36" t="s">
        <v>72</v>
      </c>
      <c r="AZ57" s="36"/>
      <c r="BA57" s="36"/>
      <c r="BB57" s="36"/>
      <c r="BC57" s="36"/>
      <c r="BD57" s="37">
        <f t="shared" si="63"/>
        <v>30</v>
      </c>
      <c r="BF57" s="65" t="s">
        <v>37</v>
      </c>
      <c r="BG57" s="5"/>
      <c r="BH57" s="5"/>
      <c r="BI57" s="5"/>
      <c r="BK57" s="5">
        <v>58</v>
      </c>
    </row>
    <row r="58" spans="1:63" x14ac:dyDescent="0.2">
      <c r="A58" s="5">
        <v>52</v>
      </c>
      <c r="C58" s="1">
        <v>52</v>
      </c>
      <c r="D58" s="1">
        <v>52</v>
      </c>
      <c r="E58" s="8">
        <v>1276</v>
      </c>
      <c r="F58" s="8">
        <v>1983</v>
      </c>
      <c r="G58" s="7" t="s">
        <v>70</v>
      </c>
      <c r="H58" s="2"/>
      <c r="I58" s="23">
        <v>1276</v>
      </c>
      <c r="J58" s="23"/>
      <c r="K58" s="12">
        <v>10748</v>
      </c>
      <c r="L58" s="12">
        <v>24211</v>
      </c>
      <c r="M58" s="12">
        <f t="shared" si="46"/>
        <v>34959</v>
      </c>
      <c r="N58" s="13">
        <f t="shared" si="47"/>
        <v>27.397335423197493</v>
      </c>
      <c r="P58" s="12">
        <v>19453</v>
      </c>
      <c r="Q58" s="11" t="s">
        <v>8</v>
      </c>
      <c r="R58" s="13">
        <f t="shared" si="48"/>
        <v>15.245297805642632</v>
      </c>
      <c r="S58" s="12">
        <f t="shared" si="49"/>
        <v>190036.35699999999</v>
      </c>
      <c r="T58" s="13">
        <f t="shared" si="50"/>
        <v>148.93131426332289</v>
      </c>
      <c r="V58" s="13">
        <f t="shared" si="51"/>
        <v>176.32864968652038</v>
      </c>
      <c r="X58" s="34">
        <f t="shared" si="52"/>
        <v>-5.7817730878775446E-2</v>
      </c>
      <c r="Z58" s="11">
        <v>1276</v>
      </c>
      <c r="AB58" s="12">
        <v>11269</v>
      </c>
      <c r="AC58" s="12">
        <v>24888</v>
      </c>
      <c r="AD58" s="12">
        <f t="shared" si="53"/>
        <v>36157</v>
      </c>
      <c r="AE58" s="13">
        <f t="shared" si="54"/>
        <v>28.336206896551722</v>
      </c>
      <c r="AG58" s="12">
        <f>4257+16405</f>
        <v>20662</v>
      </c>
      <c r="AH58" s="11" t="s">
        <v>8</v>
      </c>
      <c r="AI58" s="13">
        <f t="shared" si="55"/>
        <v>16.192789968652036</v>
      </c>
      <c r="AJ58" s="12">
        <f t="shared" si="56"/>
        <v>201847.07800000001</v>
      </c>
      <c r="AK58" s="13">
        <f t="shared" si="57"/>
        <v>158.18736520376177</v>
      </c>
      <c r="AM58" s="13">
        <f t="shared" si="58"/>
        <v>186.52357210031349</v>
      </c>
      <c r="AO58" s="34">
        <f t="shared" si="59"/>
        <v>0.83916241972963168</v>
      </c>
      <c r="AQ58" s="36">
        <f t="shared" si="60"/>
        <v>1276</v>
      </c>
      <c r="AR58" s="36"/>
      <c r="AS58" s="35"/>
      <c r="AT58" s="35"/>
      <c r="AU58" s="35">
        <f>AQ58*AV58</f>
        <v>38280</v>
      </c>
      <c r="AV58" s="37">
        <v>30</v>
      </c>
      <c r="AW58" s="36"/>
      <c r="AX58" s="36"/>
      <c r="AY58" s="36" t="s">
        <v>72</v>
      </c>
      <c r="AZ58" s="36"/>
      <c r="BA58" s="36"/>
      <c r="BB58" s="36"/>
      <c r="BC58" s="36"/>
      <c r="BD58" s="37">
        <f t="shared" si="63"/>
        <v>30</v>
      </c>
      <c r="BF58" s="65" t="s">
        <v>41</v>
      </c>
      <c r="BG58" s="5"/>
      <c r="BH58" s="5"/>
      <c r="BI58" s="5"/>
      <c r="BK58" s="5">
        <v>59</v>
      </c>
    </row>
    <row r="59" spans="1:63" x14ac:dyDescent="0.2">
      <c r="A59" s="5">
        <v>53</v>
      </c>
      <c r="C59" s="2">
        <v>53</v>
      </c>
      <c r="D59" s="2">
        <v>53</v>
      </c>
      <c r="E59" s="8">
        <v>1668</v>
      </c>
      <c r="F59" s="8">
        <v>1986</v>
      </c>
      <c r="G59" s="7" t="s">
        <v>70</v>
      </c>
      <c r="H59" s="2"/>
      <c r="I59" s="23">
        <v>1668</v>
      </c>
      <c r="J59" s="23"/>
      <c r="K59" s="12">
        <v>31792</v>
      </c>
      <c r="L59" s="12">
        <v>51255</v>
      </c>
      <c r="M59" s="12">
        <f t="shared" si="46"/>
        <v>83047</v>
      </c>
      <c r="N59" s="13">
        <f t="shared" si="47"/>
        <v>49.788369304556355</v>
      </c>
      <c r="P59" s="12">
        <v>18774</v>
      </c>
      <c r="Q59" s="11" t="s">
        <v>8</v>
      </c>
      <c r="R59" s="13">
        <f t="shared" si="48"/>
        <v>11.255395683453237</v>
      </c>
      <c r="S59" s="12">
        <f t="shared" si="49"/>
        <v>183403.20600000001</v>
      </c>
      <c r="T59" s="13">
        <f t="shared" si="50"/>
        <v>109.95396043165468</v>
      </c>
      <c r="V59" s="13">
        <f t="shared" si="51"/>
        <v>159.74232973621105</v>
      </c>
      <c r="X59" s="34">
        <f t="shared" si="52"/>
        <v>4.8126703268527415E-2</v>
      </c>
      <c r="Z59" s="11">
        <v>1668</v>
      </c>
      <c r="AB59" s="12">
        <v>29831</v>
      </c>
      <c r="AC59" s="12">
        <v>47524</v>
      </c>
      <c r="AD59" s="12">
        <f t="shared" si="53"/>
        <v>77355</v>
      </c>
      <c r="AE59" s="13">
        <f t="shared" si="54"/>
        <v>46.375899280575538</v>
      </c>
      <c r="AG59" s="12">
        <f>4362+13682</f>
        <v>18044</v>
      </c>
      <c r="AH59" s="11" t="s">
        <v>8</v>
      </c>
      <c r="AI59" s="13">
        <f t="shared" si="55"/>
        <v>10.817745803357314</v>
      </c>
      <c r="AJ59" s="12">
        <f t="shared" si="56"/>
        <v>176271.83600000001</v>
      </c>
      <c r="AK59" s="13">
        <f t="shared" si="57"/>
        <v>105.6785587529976</v>
      </c>
      <c r="AM59" s="13">
        <f t="shared" si="58"/>
        <v>152.05445803357316</v>
      </c>
      <c r="AO59" s="34">
        <f t="shared" si="59"/>
        <v>0.14890756276279865</v>
      </c>
      <c r="AQ59" s="11">
        <f t="shared" si="60"/>
        <v>1668</v>
      </c>
      <c r="AS59" s="12">
        <f t="shared" ref="AS59:AU63" si="64">AB59</f>
        <v>29831</v>
      </c>
      <c r="AT59" s="12">
        <f t="shared" si="64"/>
        <v>47524</v>
      </c>
      <c r="AU59" s="12">
        <f t="shared" si="64"/>
        <v>77355</v>
      </c>
      <c r="AV59" s="53">
        <f>AU59/AQ59</f>
        <v>46.375899280575538</v>
      </c>
      <c r="AX59" s="12">
        <f>AQ59*AZ59</f>
        <v>14178</v>
      </c>
      <c r="AY59" s="11" t="str">
        <f t="shared" ref="AX59:AZ61" si="65">AH59</f>
        <v>m3</v>
      </c>
      <c r="AZ59" s="59">
        <v>8.5</v>
      </c>
      <c r="BA59" s="12">
        <f>AX59*9.769</f>
        <v>138504.88200000001</v>
      </c>
      <c r="BB59" s="13">
        <f>BA59/AQ59</f>
        <v>83.036500000000004</v>
      </c>
      <c r="BC59" s="53"/>
      <c r="BD59" s="53">
        <f t="shared" si="63"/>
        <v>129.41239928057553</v>
      </c>
      <c r="BG59" s="10">
        <v>2029</v>
      </c>
      <c r="BH59" s="10">
        <v>2029</v>
      </c>
      <c r="BI59" s="10">
        <v>2029</v>
      </c>
      <c r="BK59" s="5">
        <v>60</v>
      </c>
    </row>
    <row r="60" spans="1:63" x14ac:dyDescent="0.2">
      <c r="A60" s="5">
        <v>54</v>
      </c>
      <c r="C60" s="2">
        <v>54</v>
      </c>
      <c r="D60" s="2">
        <v>54</v>
      </c>
      <c r="E60" s="8">
        <f>2001+405</f>
        <v>2406</v>
      </c>
      <c r="F60" s="8">
        <v>1983</v>
      </c>
      <c r="G60" s="7" t="s">
        <v>70</v>
      </c>
      <c r="H60" s="2"/>
      <c r="I60" s="23">
        <v>2406</v>
      </c>
      <c r="J60" s="23"/>
      <c r="K60" s="12">
        <v>21844</v>
      </c>
      <c r="L60" s="12">
        <v>41210</v>
      </c>
      <c r="M60" s="12">
        <f t="shared" si="46"/>
        <v>63054</v>
      </c>
      <c r="N60" s="13">
        <f t="shared" si="47"/>
        <v>26.206982543640898</v>
      </c>
      <c r="P60" s="12">
        <v>722</v>
      </c>
      <c r="Q60" s="11" t="s">
        <v>17</v>
      </c>
      <c r="R60" s="24">
        <f t="shared" si="48"/>
        <v>0.30008312551953448</v>
      </c>
      <c r="S60" s="12">
        <f>P60*277.78</f>
        <v>200557.15999999997</v>
      </c>
      <c r="T60" s="13">
        <f t="shared" si="50"/>
        <v>83.357090606816286</v>
      </c>
      <c r="V60" s="13">
        <f t="shared" si="51"/>
        <v>109.56407315045718</v>
      </c>
      <c r="X60" s="34">
        <f t="shared" si="52"/>
        <v>4.4871469022783397E-2</v>
      </c>
      <c r="Z60" s="11">
        <v>2406</v>
      </c>
      <c r="AB60" s="12">
        <v>19999</v>
      </c>
      <c r="AC60" s="12">
        <v>39282</v>
      </c>
      <c r="AD60" s="12">
        <f t="shared" si="53"/>
        <v>59281</v>
      </c>
      <c r="AE60" s="13">
        <f t="shared" si="54"/>
        <v>24.638819617622609</v>
      </c>
      <c r="AG60" s="12">
        <v>693</v>
      </c>
      <c r="AH60" s="11" t="s">
        <v>17</v>
      </c>
      <c r="AI60" s="24">
        <f t="shared" si="55"/>
        <v>0.28802992518703241</v>
      </c>
      <c r="AJ60" s="12">
        <f>AG60*277.78</f>
        <v>192501.53999999998</v>
      </c>
      <c r="AK60" s="13">
        <f t="shared" si="57"/>
        <v>80.008952618453861</v>
      </c>
      <c r="AM60" s="13">
        <f t="shared" si="58"/>
        <v>104.64777223607646</v>
      </c>
      <c r="AO60" s="34">
        <f t="shared" si="59"/>
        <v>0</v>
      </c>
      <c r="AQ60" s="11">
        <f t="shared" si="60"/>
        <v>2406</v>
      </c>
      <c r="AS60" s="12">
        <f t="shared" si="64"/>
        <v>19999</v>
      </c>
      <c r="AT60" s="12">
        <f t="shared" si="64"/>
        <v>39282</v>
      </c>
      <c r="AU60" s="12">
        <f t="shared" si="64"/>
        <v>59281</v>
      </c>
      <c r="AV60" s="53">
        <f>AU60/AQ60</f>
        <v>24.638819617622609</v>
      </c>
      <c r="AX60" s="12">
        <f t="shared" si="65"/>
        <v>693</v>
      </c>
      <c r="AY60" s="11" t="str">
        <f t="shared" si="65"/>
        <v>GJ</v>
      </c>
      <c r="AZ60" s="62">
        <f t="shared" si="65"/>
        <v>0.28802992518703241</v>
      </c>
      <c r="BA60" s="12">
        <f>AJ60</f>
        <v>192501.53999999998</v>
      </c>
      <c r="BB60" s="53">
        <f>AK60</f>
        <v>80.008952618453861</v>
      </c>
      <c r="BC60" s="53"/>
      <c r="BD60" s="53">
        <f t="shared" si="63"/>
        <v>104.64777223607646</v>
      </c>
      <c r="BG60" s="5"/>
      <c r="BH60" s="5"/>
      <c r="BI60" s="5"/>
      <c r="BK60" s="5">
        <v>61</v>
      </c>
    </row>
    <row r="61" spans="1:63" x14ac:dyDescent="0.2">
      <c r="A61" s="5">
        <v>55</v>
      </c>
      <c r="C61" s="1">
        <v>55</v>
      </c>
      <c r="D61" s="1">
        <v>55</v>
      </c>
      <c r="E61" s="8">
        <v>2141</v>
      </c>
      <c r="F61" s="8">
        <v>1956</v>
      </c>
      <c r="G61" s="7" t="s">
        <v>70</v>
      </c>
      <c r="H61" s="2"/>
      <c r="I61" s="23">
        <v>2141</v>
      </c>
      <c r="J61" s="23"/>
      <c r="K61" s="12">
        <v>11268</v>
      </c>
      <c r="L61" s="12">
        <v>30297</v>
      </c>
      <c r="M61" s="12">
        <f t="shared" si="46"/>
        <v>41565</v>
      </c>
      <c r="N61" s="13">
        <f t="shared" si="47"/>
        <v>19.413825315273236</v>
      </c>
      <c r="P61" s="12">
        <v>29761</v>
      </c>
      <c r="Q61" s="11" t="s">
        <v>8</v>
      </c>
      <c r="R61" s="13">
        <f t="shared" si="48"/>
        <v>13.900513778608127</v>
      </c>
      <c r="S61" s="12">
        <f>P61*9.769</f>
        <v>290735.20900000003</v>
      </c>
      <c r="T61" s="13">
        <f t="shared" si="50"/>
        <v>135.79411910322281</v>
      </c>
      <c r="V61" s="13">
        <f t="shared" si="51"/>
        <v>155.20794441849606</v>
      </c>
      <c r="X61" s="34">
        <f t="shared" si="52"/>
        <v>4.1780392018953179E-2</v>
      </c>
      <c r="Z61" s="11">
        <v>2141</v>
      </c>
      <c r="AB61" s="12">
        <v>10280</v>
      </c>
      <c r="AC61" s="12">
        <v>29681</v>
      </c>
      <c r="AD61" s="12">
        <f t="shared" si="53"/>
        <v>39961</v>
      </c>
      <c r="AE61" s="13">
        <f t="shared" si="54"/>
        <v>18.664642690331622</v>
      </c>
      <c r="AG61" s="12">
        <v>28504</v>
      </c>
      <c r="AH61" s="11" t="s">
        <v>8</v>
      </c>
      <c r="AI61" s="13">
        <f t="shared" si="55"/>
        <v>13.313404950957496</v>
      </c>
      <c r="AJ61" s="12">
        <f>AG61*9.769</f>
        <v>278455.576</v>
      </c>
      <c r="AK61" s="13">
        <f t="shared" si="57"/>
        <v>130.05865296590378</v>
      </c>
      <c r="AM61" s="13">
        <f t="shared" si="58"/>
        <v>148.72329565623539</v>
      </c>
      <c r="AO61" s="34">
        <f t="shared" si="59"/>
        <v>0.31617207484826415</v>
      </c>
      <c r="AQ61" s="11">
        <f t="shared" si="60"/>
        <v>2141</v>
      </c>
      <c r="AS61" s="12">
        <f t="shared" si="64"/>
        <v>10280</v>
      </c>
      <c r="AT61" s="12">
        <f t="shared" si="64"/>
        <v>29681</v>
      </c>
      <c r="AU61" s="12">
        <f t="shared" si="64"/>
        <v>39961</v>
      </c>
      <c r="AV61" s="53">
        <f>AU61/AQ61</f>
        <v>18.664642690331622</v>
      </c>
      <c r="AX61" s="12">
        <f>AQ61*AZ61</f>
        <v>18198.5</v>
      </c>
      <c r="AY61" s="11" t="str">
        <f t="shared" si="65"/>
        <v>m3</v>
      </c>
      <c r="AZ61" s="59">
        <v>8.5</v>
      </c>
      <c r="BA61" s="12">
        <f>AX61*9.769</f>
        <v>177781.1465</v>
      </c>
      <c r="BB61" s="13">
        <f>BA61/AQ61</f>
        <v>83.036500000000004</v>
      </c>
      <c r="BC61" s="53"/>
      <c r="BD61" s="53">
        <f t="shared" si="63"/>
        <v>101.70114269033162</v>
      </c>
      <c r="BG61" s="10">
        <v>2029</v>
      </c>
      <c r="BH61" s="10">
        <v>2029</v>
      </c>
      <c r="BI61" s="10">
        <v>2029</v>
      </c>
      <c r="BK61" s="5">
        <v>62</v>
      </c>
    </row>
    <row r="62" spans="1:63" x14ac:dyDescent="0.2">
      <c r="A62" s="5">
        <v>56</v>
      </c>
      <c r="C62" s="2">
        <v>56</v>
      </c>
      <c r="D62" s="2">
        <v>56</v>
      </c>
      <c r="E62" s="8">
        <v>958</v>
      </c>
      <c r="F62" s="8">
        <v>1926</v>
      </c>
      <c r="G62" s="7" t="s">
        <v>70</v>
      </c>
      <c r="H62" s="2"/>
      <c r="I62" s="23">
        <v>958</v>
      </c>
      <c r="J62" s="23"/>
      <c r="K62" s="12">
        <v>10229</v>
      </c>
      <c r="L62" s="12">
        <v>21991</v>
      </c>
      <c r="M62" s="12">
        <f t="shared" si="46"/>
        <v>32220</v>
      </c>
      <c r="N62" s="13">
        <f t="shared" si="47"/>
        <v>33.632567849686851</v>
      </c>
      <c r="P62" s="12">
        <v>14025</v>
      </c>
      <c r="Q62" s="11" t="s">
        <v>8</v>
      </c>
      <c r="R62" s="13">
        <f t="shared" si="48"/>
        <v>14.639874739039666</v>
      </c>
      <c r="S62" s="12">
        <f>P62*9.769</f>
        <v>137010.22500000001</v>
      </c>
      <c r="T62" s="13">
        <f t="shared" si="50"/>
        <v>143.0169363256785</v>
      </c>
      <c r="V62" s="13">
        <f t="shared" si="51"/>
        <v>176.64950417536534</v>
      </c>
      <c r="X62" s="34">
        <f t="shared" si="52"/>
        <v>1.3587779606154815E-2</v>
      </c>
      <c r="Z62" s="11">
        <v>958</v>
      </c>
      <c r="AB62" s="12">
        <v>8452</v>
      </c>
      <c r="AC62" s="12">
        <v>14894</v>
      </c>
      <c r="AD62" s="12">
        <f t="shared" si="53"/>
        <v>23346</v>
      </c>
      <c r="AE62" s="13">
        <f t="shared" si="54"/>
        <v>24.369519832985386</v>
      </c>
      <c r="AG62" s="12">
        <v>14698</v>
      </c>
      <c r="AH62" s="11" t="s">
        <v>8</v>
      </c>
      <c r="AI62" s="13">
        <f t="shared" si="55"/>
        <v>15.342379958246347</v>
      </c>
      <c r="AJ62" s="12">
        <f>AG62*9.769</f>
        <v>143584.76199999999</v>
      </c>
      <c r="AK62" s="13">
        <f t="shared" si="57"/>
        <v>149.87970981210856</v>
      </c>
      <c r="AM62" s="13">
        <f t="shared" si="58"/>
        <v>174.24922964509395</v>
      </c>
      <c r="AO62" s="34">
        <f t="shared" si="59"/>
        <v>0.38360691721996687</v>
      </c>
      <c r="AQ62" s="11">
        <f t="shared" si="60"/>
        <v>958</v>
      </c>
      <c r="AS62" s="12">
        <f t="shared" si="64"/>
        <v>8452</v>
      </c>
      <c r="AT62" s="12">
        <f t="shared" si="64"/>
        <v>14894</v>
      </c>
      <c r="AU62" s="12">
        <f t="shared" si="64"/>
        <v>23346</v>
      </c>
      <c r="AV62" s="53">
        <f>AU62/AQ62</f>
        <v>24.369519832985386</v>
      </c>
      <c r="AX62" s="12">
        <f>AQ62*AZ62</f>
        <v>8143</v>
      </c>
      <c r="AY62" s="11" t="str">
        <f>AH62</f>
        <v>m3</v>
      </c>
      <c r="AZ62" s="74">
        <v>8.5</v>
      </c>
      <c r="BA62" s="12">
        <f>AX62*9.769</f>
        <v>79548.967000000004</v>
      </c>
      <c r="BB62" s="13">
        <f>BA62/AQ62</f>
        <v>83.036500000000004</v>
      </c>
      <c r="BC62" s="53"/>
      <c r="BD62" s="53">
        <f t="shared" si="63"/>
        <v>107.40601983298539</v>
      </c>
      <c r="BG62" s="52">
        <v>2019</v>
      </c>
      <c r="BH62" s="52">
        <v>2019</v>
      </c>
      <c r="BI62" s="52">
        <v>2019</v>
      </c>
      <c r="BK62" s="5">
        <v>63</v>
      </c>
    </row>
    <row r="63" spans="1:63" x14ac:dyDescent="0.2">
      <c r="A63" s="5">
        <v>57</v>
      </c>
      <c r="C63" s="2">
        <v>57</v>
      </c>
      <c r="D63" s="2">
        <v>57</v>
      </c>
      <c r="E63" s="8">
        <v>2143</v>
      </c>
      <c r="F63" s="8">
        <v>1958</v>
      </c>
      <c r="G63" s="7" t="s">
        <v>70</v>
      </c>
      <c r="H63" s="2"/>
      <c r="I63" s="23">
        <v>2143</v>
      </c>
      <c r="J63" s="23"/>
      <c r="K63" s="12">
        <v>15987</v>
      </c>
      <c r="L63" s="12">
        <v>34797</v>
      </c>
      <c r="M63" s="12">
        <f t="shared" si="46"/>
        <v>50784</v>
      </c>
      <c r="N63" s="13">
        <f t="shared" si="47"/>
        <v>23.69762015865609</v>
      </c>
      <c r="P63" s="12">
        <v>23161</v>
      </c>
      <c r="Q63" s="11" t="s">
        <v>8</v>
      </c>
      <c r="R63" s="13">
        <f t="shared" si="48"/>
        <v>10.80774615025665</v>
      </c>
      <c r="S63" s="12">
        <f>P63*9.769</f>
        <v>226259.80900000001</v>
      </c>
      <c r="T63" s="13">
        <f t="shared" si="50"/>
        <v>105.58087214185721</v>
      </c>
      <c r="V63" s="13">
        <f t="shared" si="51"/>
        <v>129.27849230051331</v>
      </c>
      <c r="X63" s="34">
        <f t="shared" si="52"/>
        <v>-1.6595519736013854E-2</v>
      </c>
      <c r="Z63" s="11">
        <v>2143</v>
      </c>
      <c r="AB63" s="12">
        <v>15488</v>
      </c>
      <c r="AC63" s="12">
        <v>33114</v>
      </c>
      <c r="AD63" s="12">
        <f t="shared" si="53"/>
        <v>48602</v>
      </c>
      <c r="AE63" s="13">
        <f t="shared" si="54"/>
        <v>22.679421371908539</v>
      </c>
      <c r="AG63" s="12">
        <v>23855</v>
      </c>
      <c r="AH63" s="11" t="s">
        <v>8</v>
      </c>
      <c r="AI63" s="13">
        <f t="shared" si="55"/>
        <v>11.131591227251517</v>
      </c>
      <c r="AJ63" s="12">
        <f>AG63*9.769</f>
        <v>233039.495</v>
      </c>
      <c r="AK63" s="13">
        <f t="shared" si="57"/>
        <v>108.74451469902006</v>
      </c>
      <c r="AM63" s="13">
        <f t="shared" si="58"/>
        <v>131.42393607092859</v>
      </c>
      <c r="AO63" s="34">
        <f t="shared" si="59"/>
        <v>0.19561135868846308</v>
      </c>
      <c r="AQ63" s="11">
        <f t="shared" si="60"/>
        <v>2143</v>
      </c>
      <c r="AS63" s="12">
        <f t="shared" si="64"/>
        <v>15488</v>
      </c>
      <c r="AT63" s="12">
        <f t="shared" si="64"/>
        <v>33114</v>
      </c>
      <c r="AU63" s="12">
        <f t="shared" si="64"/>
        <v>48602</v>
      </c>
      <c r="AV63" s="53">
        <f>AU63/AQ63</f>
        <v>22.679421371908539</v>
      </c>
      <c r="AX63" s="12">
        <f>AQ63*AZ63</f>
        <v>18215.5</v>
      </c>
      <c r="AY63" s="11" t="str">
        <f>AH63</f>
        <v>m3</v>
      </c>
      <c r="AZ63" s="59">
        <v>8.5</v>
      </c>
      <c r="BA63" s="12">
        <f>AX63*9.769</f>
        <v>177947.21950000001</v>
      </c>
      <c r="BB63" s="13">
        <f>BA63/AQ63</f>
        <v>83.036500000000004</v>
      </c>
      <c r="BC63" s="53"/>
      <c r="BD63" s="53">
        <f t="shared" si="63"/>
        <v>105.71592137190854</v>
      </c>
      <c r="BG63" s="10">
        <v>2029</v>
      </c>
      <c r="BH63" s="10">
        <v>2029</v>
      </c>
      <c r="BI63" s="10">
        <v>2029</v>
      </c>
      <c r="BK63" s="5">
        <v>64</v>
      </c>
    </row>
    <row r="64" spans="1:63" x14ac:dyDescent="0.2">
      <c r="A64" s="5">
        <v>58</v>
      </c>
      <c r="C64" s="1">
        <v>58</v>
      </c>
      <c r="D64" s="1">
        <v>58</v>
      </c>
      <c r="E64" s="8">
        <f>1792+300</f>
        <v>2092</v>
      </c>
      <c r="F64" s="8">
        <v>1960</v>
      </c>
      <c r="G64" s="7" t="s">
        <v>71</v>
      </c>
      <c r="H64" s="2"/>
      <c r="I64" s="23">
        <v>2092</v>
      </c>
      <c r="J64" s="23"/>
      <c r="K64" s="12">
        <v>49410</v>
      </c>
      <c r="L64" s="12">
        <v>66190</v>
      </c>
      <c r="M64" s="12">
        <f t="shared" si="46"/>
        <v>115600</v>
      </c>
      <c r="N64" s="13">
        <f t="shared" si="47"/>
        <v>55.25812619502868</v>
      </c>
      <c r="P64" s="12">
        <f>53714+3189</f>
        <v>56903</v>
      </c>
      <c r="Q64" s="11" t="s">
        <v>8</v>
      </c>
      <c r="R64" s="13">
        <f t="shared" si="48"/>
        <v>27.200286806883366</v>
      </c>
      <c r="S64" s="12">
        <f>P64*9.769</f>
        <v>555885.40700000001</v>
      </c>
      <c r="T64" s="13">
        <f t="shared" si="50"/>
        <v>265.71960181644357</v>
      </c>
      <c r="V64" s="13">
        <f t="shared" si="51"/>
        <v>320.97772801147227</v>
      </c>
      <c r="X64" s="34">
        <f t="shared" si="52"/>
        <v>6.2080497305580178E-2</v>
      </c>
      <c r="Z64" s="11">
        <v>2092</v>
      </c>
      <c r="AB64" s="12">
        <v>51900</v>
      </c>
      <c r="AC64" s="12">
        <v>67850</v>
      </c>
      <c r="AD64" s="12">
        <f t="shared" si="53"/>
        <v>119750</v>
      </c>
      <c r="AE64" s="13">
        <f t="shared" si="54"/>
        <v>57.24187380497132</v>
      </c>
      <c r="AG64" s="12">
        <f>48824+3387</f>
        <v>52211</v>
      </c>
      <c r="AH64" s="11" t="s">
        <v>8</v>
      </c>
      <c r="AI64" s="13">
        <f t="shared" si="55"/>
        <v>24.957456978967496</v>
      </c>
      <c r="AJ64" s="12">
        <f>AG64*9.769</f>
        <v>510049.25900000002</v>
      </c>
      <c r="AK64" s="13">
        <f t="shared" si="57"/>
        <v>243.80939722753348</v>
      </c>
      <c r="AM64" s="13">
        <f t="shared" si="58"/>
        <v>301.05127103250481</v>
      </c>
      <c r="AO64" s="34">
        <f t="shared" si="59"/>
        <v>1</v>
      </c>
      <c r="AQ64" s="56"/>
      <c r="AR64" s="56"/>
      <c r="AS64" s="51"/>
      <c r="AT64" s="51"/>
      <c r="AU64" s="51"/>
      <c r="AV64" s="57"/>
      <c r="AW64" s="56"/>
      <c r="AX64" s="51"/>
      <c r="AY64" s="56"/>
      <c r="AZ64" s="57"/>
      <c r="BA64" s="51"/>
      <c r="BB64" s="57"/>
      <c r="BC64" s="57"/>
      <c r="BD64" s="57">
        <f t="shared" si="63"/>
        <v>0</v>
      </c>
      <c r="BF64" s="65" t="s">
        <v>79</v>
      </c>
      <c r="BG64" s="5"/>
      <c r="BH64" s="5"/>
      <c r="BI64" s="5"/>
      <c r="BK64" s="5">
        <v>65</v>
      </c>
    </row>
    <row r="65" spans="1:63" x14ac:dyDescent="0.2">
      <c r="A65" s="5">
        <v>59</v>
      </c>
      <c r="C65" s="2">
        <v>59</v>
      </c>
      <c r="D65" s="2">
        <v>59</v>
      </c>
      <c r="E65" s="8">
        <v>2014</v>
      </c>
      <c r="F65" s="8">
        <v>2014</v>
      </c>
      <c r="G65" s="7" t="s">
        <v>70</v>
      </c>
      <c r="H65" s="2"/>
      <c r="I65" s="23">
        <v>2014</v>
      </c>
      <c r="J65" s="23"/>
      <c r="K65" s="12">
        <v>12523</v>
      </c>
      <c r="L65" s="12">
        <v>52291</v>
      </c>
      <c r="M65" s="12">
        <f t="shared" si="46"/>
        <v>64814</v>
      </c>
      <c r="N65" s="13">
        <f t="shared" si="47"/>
        <v>32.181727904667326</v>
      </c>
      <c r="P65" s="12">
        <f>61.5+190.2+247.5</f>
        <v>499.2</v>
      </c>
      <c r="Q65" s="11" t="s">
        <v>17</v>
      </c>
      <c r="R65" s="24">
        <f t="shared" si="48"/>
        <v>0.24786494538232373</v>
      </c>
      <c r="S65" s="12">
        <f>P65*277.78</f>
        <v>138667.77599999998</v>
      </c>
      <c r="T65" s="13">
        <f t="shared" si="50"/>
        <v>68.851924528301879</v>
      </c>
      <c r="V65" s="13">
        <f t="shared" si="51"/>
        <v>101.03365243296921</v>
      </c>
      <c r="X65" s="34">
        <f t="shared" si="52"/>
        <v>-4.5824447689113753E-3</v>
      </c>
      <c r="Z65" s="11">
        <v>2014</v>
      </c>
      <c r="AB65" s="12">
        <v>13143</v>
      </c>
      <c r="AC65" s="12">
        <v>52659</v>
      </c>
      <c r="AD65" s="12">
        <f t="shared" si="53"/>
        <v>65802</v>
      </c>
      <c r="AE65" s="13">
        <f t="shared" si="54"/>
        <v>32.672293942403179</v>
      </c>
      <c r="AG65" s="43">
        <v>499</v>
      </c>
      <c r="AH65" s="11" t="s">
        <v>17</v>
      </c>
      <c r="AI65" s="24">
        <f t="shared" si="55"/>
        <v>0.2477656405163853</v>
      </c>
      <c r="AJ65" s="12">
        <f>AG65*277.78</f>
        <v>138612.21999999997</v>
      </c>
      <c r="AK65" s="13">
        <f t="shared" si="57"/>
        <v>68.824339622641489</v>
      </c>
      <c r="AM65" s="13">
        <f t="shared" si="58"/>
        <v>101.49663356504468</v>
      </c>
      <c r="AO65" s="34">
        <f t="shared" si="59"/>
        <v>0</v>
      </c>
      <c r="AQ65" s="11">
        <f>Z65</f>
        <v>2014</v>
      </c>
      <c r="AS65" s="12">
        <f t="shared" ref="AS65:AU66" si="66">AB65</f>
        <v>13143</v>
      </c>
      <c r="AT65" s="12">
        <f t="shared" si="66"/>
        <v>52659</v>
      </c>
      <c r="AU65" s="12">
        <f t="shared" si="66"/>
        <v>65802</v>
      </c>
      <c r="AV65" s="53">
        <f>AU65/AQ65</f>
        <v>32.672293942403179</v>
      </c>
      <c r="AX65" s="12">
        <f t="shared" ref="AX65:BB66" si="67">AG65</f>
        <v>499</v>
      </c>
      <c r="AY65" s="11" t="str">
        <f t="shared" si="67"/>
        <v>GJ</v>
      </c>
      <c r="AZ65" s="62">
        <f t="shared" si="67"/>
        <v>0.2477656405163853</v>
      </c>
      <c r="BA65" s="12">
        <f t="shared" si="67"/>
        <v>138612.21999999997</v>
      </c>
      <c r="BB65" s="53">
        <f t="shared" si="67"/>
        <v>68.824339622641489</v>
      </c>
      <c r="BC65" s="53"/>
      <c r="BD65" s="53">
        <f t="shared" si="63"/>
        <v>101.49663356504468</v>
      </c>
      <c r="BF65" s="65" t="s">
        <v>52</v>
      </c>
      <c r="BG65" s="5"/>
      <c r="BH65" s="5"/>
      <c r="BI65" s="5"/>
      <c r="BK65" s="5">
        <v>66</v>
      </c>
    </row>
    <row r="66" spans="1:63" x14ac:dyDescent="0.2">
      <c r="A66" s="5">
        <v>60</v>
      </c>
      <c r="C66" s="2">
        <v>60</v>
      </c>
      <c r="D66" s="2">
        <v>60</v>
      </c>
      <c r="E66" s="8">
        <v>1093</v>
      </c>
      <c r="F66" s="8">
        <v>1985</v>
      </c>
      <c r="G66" s="7" t="s">
        <v>70</v>
      </c>
      <c r="H66" s="2"/>
      <c r="I66" s="23">
        <v>1093</v>
      </c>
      <c r="J66" s="23"/>
      <c r="K66" s="12">
        <v>5484</v>
      </c>
      <c r="L66" s="12">
        <v>16952</v>
      </c>
      <c r="M66" s="12">
        <f t="shared" si="46"/>
        <v>22436</v>
      </c>
      <c r="N66" s="13">
        <f t="shared" si="47"/>
        <v>20.526989935956085</v>
      </c>
      <c r="P66" s="26">
        <v>209.06</v>
      </c>
      <c r="Q66" s="11" t="s">
        <v>17</v>
      </c>
      <c r="R66" s="24">
        <f t="shared" si="48"/>
        <v>0.19127172918572735</v>
      </c>
      <c r="S66" s="12">
        <f>P66*277.78</f>
        <v>58072.686799999996</v>
      </c>
      <c r="T66" s="13">
        <f t="shared" si="50"/>
        <v>53.131460933211343</v>
      </c>
      <c r="V66" s="13">
        <f t="shared" si="51"/>
        <v>73.658450869167424</v>
      </c>
      <c r="X66" s="34">
        <f t="shared" si="52"/>
        <v>-0.32034894897826122</v>
      </c>
      <c r="Z66" s="11">
        <v>1093</v>
      </c>
      <c r="AB66" s="12">
        <v>5333</v>
      </c>
      <c r="AC66" s="12">
        <v>17077</v>
      </c>
      <c r="AD66" s="12">
        <f t="shared" si="53"/>
        <v>22410</v>
      </c>
      <c r="AE66" s="13">
        <f t="shared" si="54"/>
        <v>20.503202195791399</v>
      </c>
      <c r="AG66" s="12">
        <v>302</v>
      </c>
      <c r="AH66" s="11" t="s">
        <v>17</v>
      </c>
      <c r="AI66" s="24">
        <f t="shared" si="55"/>
        <v>0.27630375114364136</v>
      </c>
      <c r="AJ66" s="12">
        <f>AG66*277.78</f>
        <v>83889.56</v>
      </c>
      <c r="AK66" s="13">
        <f t="shared" si="57"/>
        <v>76.751655992680696</v>
      </c>
      <c r="AM66" s="13">
        <f t="shared" si="58"/>
        <v>97.254858188472099</v>
      </c>
      <c r="AO66" s="34">
        <f t="shared" si="59"/>
        <v>0</v>
      </c>
      <c r="AQ66" s="11">
        <f>Z66</f>
        <v>1093</v>
      </c>
      <c r="AS66" s="12">
        <f t="shared" si="66"/>
        <v>5333</v>
      </c>
      <c r="AT66" s="12">
        <f t="shared" si="66"/>
        <v>17077</v>
      </c>
      <c r="AU66" s="12">
        <f t="shared" si="66"/>
        <v>22410</v>
      </c>
      <c r="AV66" s="53">
        <f>AU66/AQ66</f>
        <v>20.503202195791399</v>
      </c>
      <c r="AX66" s="12">
        <f t="shared" si="67"/>
        <v>302</v>
      </c>
      <c r="AY66" s="11" t="str">
        <f t="shared" si="67"/>
        <v>GJ</v>
      </c>
      <c r="AZ66" s="62">
        <f t="shared" si="67"/>
        <v>0.27630375114364136</v>
      </c>
      <c r="BA66" s="12">
        <f t="shared" si="67"/>
        <v>83889.56</v>
      </c>
      <c r="BB66" s="53">
        <f t="shared" si="67"/>
        <v>76.751655992680696</v>
      </c>
      <c r="BC66" s="53"/>
      <c r="BD66" s="53">
        <f t="shared" si="63"/>
        <v>97.254858188472099</v>
      </c>
      <c r="BG66" s="5"/>
      <c r="BH66" s="5"/>
      <c r="BI66" s="5"/>
      <c r="BK66" s="5">
        <v>67</v>
      </c>
    </row>
    <row r="67" spans="1:63" x14ac:dyDescent="0.2">
      <c r="A67" s="5">
        <v>61</v>
      </c>
      <c r="C67" s="1">
        <v>61</v>
      </c>
      <c r="D67" s="1">
        <v>61</v>
      </c>
      <c r="E67" s="8">
        <v>794</v>
      </c>
      <c r="F67" s="8">
        <v>1964</v>
      </c>
      <c r="G67" s="7" t="s">
        <v>70</v>
      </c>
      <c r="H67" s="2"/>
      <c r="I67" s="23">
        <v>794</v>
      </c>
      <c r="J67" s="23"/>
      <c r="K67" s="12">
        <v>4935</v>
      </c>
      <c r="L67" s="12">
        <v>7422</v>
      </c>
      <c r="M67" s="12">
        <f t="shared" si="46"/>
        <v>12357</v>
      </c>
      <c r="N67" s="13">
        <f t="shared" si="47"/>
        <v>15.562972292191436</v>
      </c>
      <c r="P67" s="12">
        <v>6568</v>
      </c>
      <c r="Q67" s="11" t="s">
        <v>8</v>
      </c>
      <c r="R67" s="13">
        <f t="shared" si="48"/>
        <v>8.272040302267003</v>
      </c>
      <c r="S67" s="12">
        <f>P67*9.769</f>
        <v>64162.792000000001</v>
      </c>
      <c r="T67" s="13">
        <f t="shared" si="50"/>
        <v>80.809561712846346</v>
      </c>
      <c r="V67" s="13">
        <f t="shared" si="51"/>
        <v>96.372534005037778</v>
      </c>
      <c r="X67" s="34">
        <f t="shared" si="52"/>
        <v>-1.3612229892104259</v>
      </c>
      <c r="Z67" s="11">
        <v>794</v>
      </c>
      <c r="AB67" s="12">
        <v>6138</v>
      </c>
      <c r="AC67" s="12">
        <v>7805</v>
      </c>
      <c r="AD67" s="12">
        <f t="shared" si="53"/>
        <v>13943</v>
      </c>
      <c r="AE67" s="13">
        <f t="shared" si="54"/>
        <v>17.560453400503778</v>
      </c>
      <c r="AG67" s="12">
        <v>17068</v>
      </c>
      <c r="AH67" s="11" t="s">
        <v>8</v>
      </c>
      <c r="AI67" s="13">
        <f t="shared" si="55"/>
        <v>21.496221662468514</v>
      </c>
      <c r="AJ67" s="12">
        <f>AG67*9.769</f>
        <v>166737.29200000002</v>
      </c>
      <c r="AK67" s="13">
        <f t="shared" si="57"/>
        <v>209.99658942065494</v>
      </c>
      <c r="AM67" s="13">
        <f t="shared" si="58"/>
        <v>227.55704282115872</v>
      </c>
      <c r="AO67" s="34">
        <f t="shared" si="59"/>
        <v>1</v>
      </c>
      <c r="AQ67" s="56"/>
      <c r="AR67" s="56"/>
      <c r="AS67" s="51"/>
      <c r="AT67" s="51"/>
      <c r="AU67" s="51"/>
      <c r="AV67" s="57"/>
      <c r="AW67" s="56"/>
      <c r="AX67" s="51"/>
      <c r="AY67" s="56"/>
      <c r="AZ67" s="57"/>
      <c r="BA67" s="51"/>
      <c r="BB67" s="57"/>
      <c r="BC67" s="57"/>
      <c r="BD67" s="57">
        <f t="shared" si="63"/>
        <v>0</v>
      </c>
      <c r="BF67" s="65" t="s">
        <v>31</v>
      </c>
      <c r="BG67" s="5"/>
      <c r="BH67" s="5"/>
      <c r="BI67" s="5"/>
      <c r="BK67" s="5">
        <v>68</v>
      </c>
    </row>
    <row r="68" spans="1:63" x14ac:dyDescent="0.2">
      <c r="A68" s="5">
        <v>62</v>
      </c>
      <c r="C68" s="2">
        <v>62</v>
      </c>
      <c r="D68" s="2">
        <v>62</v>
      </c>
      <c r="E68" s="8">
        <v>1075</v>
      </c>
      <c r="F68" s="8">
        <v>1928</v>
      </c>
      <c r="G68" s="7" t="s">
        <v>70</v>
      </c>
      <c r="H68" s="2"/>
      <c r="I68" s="23">
        <v>1075</v>
      </c>
      <c r="J68" s="23"/>
      <c r="K68" s="12">
        <v>7584</v>
      </c>
      <c r="L68" s="12">
        <v>26780</v>
      </c>
      <c r="M68" s="12">
        <f t="shared" si="46"/>
        <v>34364</v>
      </c>
      <c r="N68" s="13">
        <f t="shared" si="47"/>
        <v>31.966511627906975</v>
      </c>
      <c r="P68" s="12">
        <v>21476</v>
      </c>
      <c r="Q68" s="11" t="s">
        <v>8</v>
      </c>
      <c r="R68" s="13">
        <f t="shared" si="48"/>
        <v>19.97767441860465</v>
      </c>
      <c r="S68" s="12">
        <f>P68*9.769</f>
        <v>209799.04399999999</v>
      </c>
      <c r="T68" s="13">
        <f t="shared" si="50"/>
        <v>195.16190139534882</v>
      </c>
      <c r="V68" s="13">
        <f t="shared" si="51"/>
        <v>227.1284130232558</v>
      </c>
      <c r="X68" s="34">
        <f t="shared" si="52"/>
        <v>-0.1120989300903376</v>
      </c>
      <c r="Z68" s="11">
        <v>1075</v>
      </c>
      <c r="AB68" s="12">
        <v>7904</v>
      </c>
      <c r="AC68" s="12">
        <v>25852</v>
      </c>
      <c r="AD68" s="12">
        <f t="shared" si="53"/>
        <v>33756</v>
      </c>
      <c r="AE68" s="13">
        <f t="shared" si="54"/>
        <v>31.400930232558139</v>
      </c>
      <c r="AG68" s="12">
        <f>15635+8705</f>
        <v>24340</v>
      </c>
      <c r="AH68" s="11" t="s">
        <v>8</v>
      </c>
      <c r="AI68" s="13">
        <f t="shared" si="55"/>
        <v>22.641860465116277</v>
      </c>
      <c r="AJ68" s="12">
        <f>AG68*9.769</f>
        <v>237777.46</v>
      </c>
      <c r="AK68" s="13">
        <f t="shared" si="57"/>
        <v>221.18833488372093</v>
      </c>
      <c r="AM68" s="13">
        <f t="shared" si="58"/>
        <v>252.58926511627908</v>
      </c>
      <c r="AO68" s="34">
        <f t="shared" si="59"/>
        <v>0.88123010696361326</v>
      </c>
      <c r="AQ68" s="36">
        <f>Z68</f>
        <v>1075</v>
      </c>
      <c r="AR68" s="36"/>
      <c r="AS68" s="35"/>
      <c r="AT68" s="35"/>
      <c r="AU68" s="35">
        <f>AQ68*AV68</f>
        <v>32250</v>
      </c>
      <c r="AV68" s="37">
        <v>30</v>
      </c>
      <c r="AW68" s="36"/>
      <c r="AX68" s="36"/>
      <c r="AY68" s="36" t="s">
        <v>72</v>
      </c>
      <c r="AZ68" s="36"/>
      <c r="BA68" s="36"/>
      <c r="BB68" s="36"/>
      <c r="BC68" s="36"/>
      <c r="BD68" s="37">
        <f t="shared" si="63"/>
        <v>30</v>
      </c>
      <c r="BF68" s="65" t="s">
        <v>35</v>
      </c>
      <c r="BG68" s="5"/>
      <c r="BH68" s="5"/>
      <c r="BI68" s="5"/>
      <c r="BK68" s="5">
        <v>69</v>
      </c>
    </row>
    <row r="69" spans="1:63" x14ac:dyDescent="0.2">
      <c r="A69" s="5">
        <v>63</v>
      </c>
      <c r="C69" s="2">
        <v>63</v>
      </c>
      <c r="D69" s="2">
        <v>63</v>
      </c>
      <c r="E69" s="8">
        <v>1523</v>
      </c>
      <c r="F69" s="8">
        <v>1964</v>
      </c>
      <c r="G69" s="7" t="s">
        <v>70</v>
      </c>
      <c r="H69" s="2"/>
      <c r="I69" s="23">
        <v>1523</v>
      </c>
      <c r="J69" s="23"/>
      <c r="K69" s="12">
        <v>9251</v>
      </c>
      <c r="L69" s="12">
        <v>15798</v>
      </c>
      <c r="M69" s="12">
        <f t="shared" si="46"/>
        <v>25049</v>
      </c>
      <c r="N69" s="13">
        <f t="shared" si="47"/>
        <v>16.447143795141169</v>
      </c>
      <c r="P69" s="12">
        <v>19512</v>
      </c>
      <c r="Q69" s="11" t="s">
        <v>8</v>
      </c>
      <c r="R69" s="13">
        <f t="shared" si="48"/>
        <v>12.811556139198949</v>
      </c>
      <c r="S69" s="12">
        <f>P69*9.769</f>
        <v>190612.728</v>
      </c>
      <c r="T69" s="13">
        <f t="shared" si="50"/>
        <v>125.15609192383454</v>
      </c>
      <c r="V69" s="13">
        <f t="shared" si="51"/>
        <v>141.6032357189757</v>
      </c>
      <c r="X69" s="34">
        <f t="shared" si="52"/>
        <v>-5.4996146557816719E-2</v>
      </c>
      <c r="Z69" s="11">
        <v>1523</v>
      </c>
      <c r="AB69" s="12">
        <v>11445</v>
      </c>
      <c r="AC69" s="12">
        <v>20033</v>
      </c>
      <c r="AD69" s="12">
        <f t="shared" si="53"/>
        <v>31478</v>
      </c>
      <c r="AE69" s="13">
        <f t="shared" si="54"/>
        <v>20.668417596848325</v>
      </c>
      <c r="AG69" s="12">
        <v>20068</v>
      </c>
      <c r="AH69" s="11" t="s">
        <v>8</v>
      </c>
      <c r="AI69" s="13">
        <f t="shared" si="55"/>
        <v>13.176625082074851</v>
      </c>
      <c r="AJ69" s="12">
        <f>AG69*9.769</f>
        <v>196044.29200000002</v>
      </c>
      <c r="AK69" s="13">
        <f t="shared" si="57"/>
        <v>128.72245042678924</v>
      </c>
      <c r="AM69" s="13">
        <f t="shared" si="58"/>
        <v>149.39086802363755</v>
      </c>
      <c r="AO69" s="34">
        <f t="shared" si="59"/>
        <v>0.30581488032829762</v>
      </c>
      <c r="AQ69" s="11">
        <f>Z69</f>
        <v>1523</v>
      </c>
      <c r="AS69" s="12">
        <f t="shared" ref="AS69:AU70" si="68">AB69</f>
        <v>11445</v>
      </c>
      <c r="AT69" s="12">
        <f t="shared" si="68"/>
        <v>20033</v>
      </c>
      <c r="AU69" s="12">
        <f t="shared" si="68"/>
        <v>31478</v>
      </c>
      <c r="AV69" s="53">
        <f>AU69/AQ69</f>
        <v>20.668417596848325</v>
      </c>
      <c r="AX69" s="12">
        <f>AQ69*AZ69</f>
        <v>12945.5</v>
      </c>
      <c r="AY69" s="11" t="str">
        <f t="shared" ref="AX69:AZ70" si="69">AH69</f>
        <v>m3</v>
      </c>
      <c r="AZ69" s="59">
        <v>8.5</v>
      </c>
      <c r="BA69" s="12">
        <f>AX69*9.769</f>
        <v>126464.5895</v>
      </c>
      <c r="BB69" s="13">
        <f>BA69/AQ69</f>
        <v>83.036500000000004</v>
      </c>
      <c r="BC69" s="53"/>
      <c r="BD69" s="53">
        <f t="shared" si="63"/>
        <v>103.70491759684833</v>
      </c>
      <c r="BG69" s="10">
        <v>2029</v>
      </c>
      <c r="BH69" s="10">
        <v>2029</v>
      </c>
      <c r="BI69" s="10">
        <v>2029</v>
      </c>
      <c r="BK69" s="5">
        <v>70</v>
      </c>
    </row>
    <row r="70" spans="1:63" x14ac:dyDescent="0.2">
      <c r="A70" s="5">
        <v>64</v>
      </c>
      <c r="C70" s="1">
        <v>64</v>
      </c>
      <c r="D70" s="1">
        <v>64</v>
      </c>
      <c r="E70" s="8">
        <v>1301</v>
      </c>
      <c r="F70" s="8">
        <v>1989</v>
      </c>
      <c r="G70" s="7" t="s">
        <v>70</v>
      </c>
      <c r="H70" s="2"/>
      <c r="I70" s="23">
        <v>1301</v>
      </c>
      <c r="J70" s="23"/>
      <c r="K70" s="12">
        <v>14233</v>
      </c>
      <c r="L70" s="12">
        <v>24525</v>
      </c>
      <c r="M70" s="12">
        <f t="shared" si="46"/>
        <v>38758</v>
      </c>
      <c r="N70" s="13">
        <f t="shared" si="47"/>
        <v>29.790930053804765</v>
      </c>
      <c r="P70" s="12">
        <v>16601</v>
      </c>
      <c r="Q70" s="11" t="s">
        <v>8</v>
      </c>
      <c r="R70" s="13">
        <f t="shared" si="48"/>
        <v>12.760184473481937</v>
      </c>
      <c r="S70" s="12">
        <f>P70*9.769</f>
        <v>162175.16899999999</v>
      </c>
      <c r="T70" s="13">
        <f t="shared" si="50"/>
        <v>124.65424212144504</v>
      </c>
      <c r="V70" s="13">
        <f t="shared" si="51"/>
        <v>154.44517217524981</v>
      </c>
      <c r="X70" s="34">
        <f t="shared" si="52"/>
        <v>-1.4699111225384632E-2</v>
      </c>
      <c r="Z70" s="11">
        <v>1301</v>
      </c>
      <c r="AB70" s="12">
        <v>13994</v>
      </c>
      <c r="AC70" s="12">
        <v>24484</v>
      </c>
      <c r="AD70" s="12">
        <f t="shared" si="53"/>
        <v>38478</v>
      </c>
      <c r="AE70" s="13">
        <f t="shared" si="54"/>
        <v>29.575710991544966</v>
      </c>
      <c r="AG70" s="12">
        <v>16932</v>
      </c>
      <c r="AH70" s="11" t="s">
        <v>8</v>
      </c>
      <c r="AI70" s="13">
        <f t="shared" si="55"/>
        <v>13.014604150653344</v>
      </c>
      <c r="AJ70" s="12">
        <f>AG70*9.769</f>
        <v>165408.70800000001</v>
      </c>
      <c r="AK70" s="13">
        <f t="shared" si="57"/>
        <v>127.13966794773252</v>
      </c>
      <c r="AM70" s="13">
        <f t="shared" si="58"/>
        <v>156.71537893927749</v>
      </c>
      <c r="AO70" s="34">
        <f t="shared" si="59"/>
        <v>0.28142208024664367</v>
      </c>
      <c r="AQ70" s="11">
        <f>Z70</f>
        <v>1301</v>
      </c>
      <c r="AS70" s="12">
        <f t="shared" si="68"/>
        <v>13994</v>
      </c>
      <c r="AT70" s="12">
        <f t="shared" si="68"/>
        <v>24484</v>
      </c>
      <c r="AU70" s="12">
        <f t="shared" si="68"/>
        <v>38478</v>
      </c>
      <c r="AV70" s="53">
        <f>AU70/AQ70</f>
        <v>29.575710991544966</v>
      </c>
      <c r="AX70" s="12">
        <f>AQ70*AZ70</f>
        <v>11058.5</v>
      </c>
      <c r="AY70" s="11" t="str">
        <f t="shared" si="69"/>
        <v>m3</v>
      </c>
      <c r="AZ70" s="59">
        <v>8.5</v>
      </c>
      <c r="BA70" s="12">
        <f>AX70*9.769</f>
        <v>108030.4865</v>
      </c>
      <c r="BB70" s="13">
        <f>BA70/AQ70</f>
        <v>83.036500000000004</v>
      </c>
      <c r="BC70" s="53"/>
      <c r="BD70" s="53">
        <f t="shared" si="63"/>
        <v>112.61221099154497</v>
      </c>
      <c r="BG70" s="10">
        <v>2029</v>
      </c>
      <c r="BH70" s="10">
        <v>2029</v>
      </c>
      <c r="BI70" s="10">
        <v>2029</v>
      </c>
      <c r="BK70" s="5">
        <v>71</v>
      </c>
    </row>
    <row r="71" spans="1:63" x14ac:dyDescent="0.2">
      <c r="A71" s="5">
        <v>65</v>
      </c>
      <c r="C71" s="2">
        <v>65</v>
      </c>
      <c r="D71" s="2">
        <v>65</v>
      </c>
      <c r="F71" s="8">
        <v>2010</v>
      </c>
      <c r="G71" s="7" t="s">
        <v>70</v>
      </c>
      <c r="H71" s="2"/>
      <c r="I71" s="30"/>
      <c r="J71" s="30"/>
      <c r="K71" s="29"/>
      <c r="L71" s="29"/>
      <c r="M71" s="29"/>
      <c r="N71" s="31"/>
      <c r="O71" s="32"/>
      <c r="P71" s="29"/>
      <c r="Q71" s="32"/>
      <c r="R71" s="31"/>
      <c r="S71" s="29"/>
      <c r="T71" s="31"/>
      <c r="U71" s="32"/>
      <c r="V71" s="31"/>
      <c r="X71" s="34"/>
      <c r="Z71" s="32"/>
      <c r="AA71" s="32"/>
      <c r="AB71" s="29"/>
      <c r="AC71" s="29"/>
      <c r="AD71" s="29"/>
      <c r="AE71" s="31"/>
      <c r="AF71" s="32"/>
      <c r="AG71" s="29"/>
      <c r="AH71" s="32"/>
      <c r="AI71" s="32"/>
      <c r="AJ71" s="32"/>
      <c r="AK71" s="32"/>
      <c r="AL71" s="32"/>
      <c r="AM71" s="32"/>
      <c r="AO71" s="34"/>
      <c r="AQ71" s="32"/>
      <c r="AR71" s="32"/>
      <c r="AS71" s="29"/>
      <c r="AT71" s="29"/>
      <c r="AU71" s="29"/>
      <c r="AV71" s="54"/>
      <c r="AW71" s="32"/>
      <c r="AX71" s="29"/>
      <c r="AY71" s="32"/>
      <c r="AZ71" s="54"/>
      <c r="BA71" s="29"/>
      <c r="BB71" s="54"/>
      <c r="BC71" s="54"/>
      <c r="BD71" s="54">
        <f t="shared" si="63"/>
        <v>0</v>
      </c>
      <c r="BF71" s="65" t="s">
        <v>52</v>
      </c>
      <c r="BG71" s="5"/>
      <c r="BH71" s="5"/>
      <c r="BI71" s="5"/>
      <c r="BK71" s="5">
        <v>72</v>
      </c>
    </row>
    <row r="72" spans="1:63" x14ac:dyDescent="0.2">
      <c r="A72" s="5">
        <v>66</v>
      </c>
      <c r="C72" s="2">
        <v>66</v>
      </c>
      <c r="D72" s="2">
        <v>66</v>
      </c>
      <c r="E72" s="8">
        <f>2013+600</f>
        <v>2613</v>
      </c>
      <c r="F72" s="8">
        <v>1993</v>
      </c>
      <c r="G72" s="7" t="s">
        <v>70</v>
      </c>
      <c r="H72" s="2"/>
      <c r="I72" s="23">
        <v>2613</v>
      </c>
      <c r="J72" s="23"/>
      <c r="K72" s="12">
        <v>20987</v>
      </c>
      <c r="L72" s="12">
        <v>55737</v>
      </c>
      <c r="M72" s="12">
        <f t="shared" ref="M72:M90" si="70">K72+L72</f>
        <v>76724</v>
      </c>
      <c r="N72" s="13">
        <f t="shared" ref="N72:N90" si="71">M72/I72</f>
        <v>29.362418675851512</v>
      </c>
      <c r="P72" s="12">
        <v>26935</v>
      </c>
      <c r="Q72" s="11" t="s">
        <v>8</v>
      </c>
      <c r="R72" s="13">
        <f t="shared" ref="R72:R90" si="72">P72/I72</f>
        <v>10.308075009567547</v>
      </c>
      <c r="S72" s="12">
        <f t="shared" ref="S72:S78" si="73">P72*9.769</f>
        <v>263128.01500000001</v>
      </c>
      <c r="T72" s="13">
        <f t="shared" ref="T72:T90" si="74">S72/I72</f>
        <v>100.69958476846537</v>
      </c>
      <c r="V72" s="13">
        <f t="shared" ref="V72:V90" si="75">N72+T72</f>
        <v>130.06200344431687</v>
      </c>
      <c r="X72" s="34">
        <f t="shared" ref="X72:X90" si="76">(V72-AM72)/V72</f>
        <v>2.0099618947382124E-2</v>
      </c>
      <c r="Z72" s="11">
        <v>2613</v>
      </c>
      <c r="AB72" s="12">
        <v>21932</v>
      </c>
      <c r="AC72" s="12">
        <v>55620</v>
      </c>
      <c r="AD72" s="12">
        <f>AB72+AC72</f>
        <v>77552</v>
      </c>
      <c r="AE72" s="13">
        <f>AD72/Z72</f>
        <v>29.679295828549559</v>
      </c>
      <c r="AG72" s="12">
        <v>26151</v>
      </c>
      <c r="AH72" s="11" t="s">
        <v>8</v>
      </c>
      <c r="AI72" s="13">
        <f>AG72/Z72</f>
        <v>10.008036739380023</v>
      </c>
      <c r="AJ72" s="12">
        <f>AG72*9.769</f>
        <v>255469.11900000001</v>
      </c>
      <c r="AK72" s="13">
        <f>AJ72/Z72</f>
        <v>97.768510907003446</v>
      </c>
      <c r="AM72" s="13">
        <f>AE72+AK72</f>
        <v>127.447806735553</v>
      </c>
      <c r="AO72" s="34">
        <f>(AM72-BD72)/AM72</f>
        <v>0.11559250240823314</v>
      </c>
      <c r="AQ72" s="11">
        <f>Z72</f>
        <v>2613</v>
      </c>
      <c r="AS72" s="12">
        <f>AB72</f>
        <v>21932</v>
      </c>
      <c r="AT72" s="12">
        <f>AC72</f>
        <v>55620</v>
      </c>
      <c r="AU72" s="12">
        <f>AD72</f>
        <v>77552</v>
      </c>
      <c r="AV72" s="53">
        <f>AU72/AQ72</f>
        <v>29.679295828549559</v>
      </c>
      <c r="AX72" s="12">
        <f>AQ72*AZ72</f>
        <v>22210.5</v>
      </c>
      <c r="AY72" s="11" t="str">
        <f>AH72</f>
        <v>m3</v>
      </c>
      <c r="AZ72" s="59">
        <v>8.5</v>
      </c>
      <c r="BA72" s="12">
        <f>AX72*9.769</f>
        <v>216974.37450000001</v>
      </c>
      <c r="BB72" s="13">
        <f>BA72/AQ72</f>
        <v>83.036500000000004</v>
      </c>
      <c r="BC72" s="53"/>
      <c r="BD72" s="53">
        <f t="shared" si="63"/>
        <v>112.71579582854956</v>
      </c>
      <c r="BG72" s="10">
        <v>2029</v>
      </c>
      <c r="BH72" s="10">
        <v>2029</v>
      </c>
      <c r="BI72" s="10">
        <v>2029</v>
      </c>
      <c r="BK72" s="5">
        <v>73</v>
      </c>
    </row>
    <row r="73" spans="1:63" x14ac:dyDescent="0.2">
      <c r="A73" s="41">
        <v>67</v>
      </c>
      <c r="B73" s="41"/>
      <c r="C73" s="75">
        <v>67</v>
      </c>
      <c r="D73" s="75">
        <v>67</v>
      </c>
      <c r="E73" s="60">
        <v>2167</v>
      </c>
      <c r="F73" s="8">
        <v>1956</v>
      </c>
      <c r="G73" s="7" t="s">
        <v>70</v>
      </c>
      <c r="H73" s="2"/>
      <c r="I73" s="23">
        <v>2167</v>
      </c>
      <c r="J73" s="23"/>
      <c r="K73" s="12">
        <v>31104</v>
      </c>
      <c r="L73" s="12">
        <v>33736</v>
      </c>
      <c r="M73" s="12">
        <f t="shared" si="70"/>
        <v>64840</v>
      </c>
      <c r="N73" s="13">
        <f t="shared" si="71"/>
        <v>29.921550530687586</v>
      </c>
      <c r="P73" s="35"/>
      <c r="Q73" s="36" t="s">
        <v>72</v>
      </c>
      <c r="R73" s="37">
        <f t="shared" si="72"/>
        <v>0</v>
      </c>
      <c r="S73" s="35">
        <f t="shared" si="73"/>
        <v>0</v>
      </c>
      <c r="T73" s="37">
        <f t="shared" si="74"/>
        <v>0</v>
      </c>
      <c r="V73" s="13">
        <f t="shared" si="75"/>
        <v>29.921550530687586</v>
      </c>
      <c r="X73" s="34">
        <f t="shared" si="76"/>
        <v>2.8809376927822358E-2</v>
      </c>
      <c r="Z73" s="11">
        <v>2167</v>
      </c>
      <c r="AB73" s="12">
        <v>32060</v>
      </c>
      <c r="AC73" s="12">
        <v>30912</v>
      </c>
      <c r="AD73" s="12">
        <f>AB73+AC73</f>
        <v>62972</v>
      </c>
      <c r="AE73" s="13">
        <f>AD73/Z73</f>
        <v>29.059529303184124</v>
      </c>
      <c r="AG73" s="35"/>
      <c r="AH73" s="36" t="s">
        <v>72</v>
      </c>
      <c r="AI73" s="36"/>
      <c r="AJ73" s="36"/>
      <c r="AK73" s="36"/>
      <c r="AM73" s="13">
        <f>AE73+AK73</f>
        <v>29.059529303184124</v>
      </c>
      <c r="AO73" s="34">
        <f>(AM73-BD73)/AM73</f>
        <v>0</v>
      </c>
      <c r="AQ73" s="11">
        <v>2167</v>
      </c>
      <c r="AS73" s="12">
        <v>32060</v>
      </c>
      <c r="AT73" s="12">
        <v>30912</v>
      </c>
      <c r="AU73" s="12">
        <f>AS73+AT73</f>
        <v>62972</v>
      </c>
      <c r="AV73" s="53">
        <f>AU73/AQ73</f>
        <v>29.059529303184124</v>
      </c>
      <c r="AX73" s="36"/>
      <c r="AY73" s="36" t="s">
        <v>72</v>
      </c>
      <c r="AZ73" s="36"/>
      <c r="BA73" s="36"/>
      <c r="BB73" s="36"/>
      <c r="BD73" s="13">
        <f t="shared" si="63"/>
        <v>29.059529303184124</v>
      </c>
      <c r="BG73" s="5"/>
      <c r="BH73" s="5"/>
      <c r="BI73" s="5"/>
      <c r="BK73" s="5">
        <v>74</v>
      </c>
    </row>
    <row r="74" spans="1:63" x14ac:dyDescent="0.2">
      <c r="A74" s="5">
        <v>68</v>
      </c>
      <c r="C74" s="2">
        <v>68</v>
      </c>
      <c r="D74" s="2">
        <v>68</v>
      </c>
      <c r="E74" s="8">
        <f>963+175</f>
        <v>1138</v>
      </c>
      <c r="F74" s="8">
        <v>1985</v>
      </c>
      <c r="G74" s="7" t="s">
        <v>71</v>
      </c>
      <c r="H74" s="2"/>
      <c r="I74" s="23">
        <v>1138</v>
      </c>
      <c r="J74" s="23"/>
      <c r="K74" s="12">
        <v>10030</v>
      </c>
      <c r="L74" s="12">
        <v>24467</v>
      </c>
      <c r="M74" s="12">
        <f t="shared" si="70"/>
        <v>34497</v>
      </c>
      <c r="N74" s="13">
        <f t="shared" si="71"/>
        <v>30.313708260105447</v>
      </c>
      <c r="P74" s="12">
        <v>11062</v>
      </c>
      <c r="Q74" s="11" t="s">
        <v>8</v>
      </c>
      <c r="R74" s="13">
        <f t="shared" si="72"/>
        <v>9.7205623901581717</v>
      </c>
      <c r="S74" s="12">
        <f t="shared" si="73"/>
        <v>108064.678</v>
      </c>
      <c r="T74" s="13">
        <f t="shared" si="74"/>
        <v>94.960173989455186</v>
      </c>
      <c r="V74" s="13">
        <f t="shared" si="75"/>
        <v>125.27388224956063</v>
      </c>
      <c r="X74" s="34">
        <f t="shared" si="76"/>
        <v>-7.9456198600580355E-2</v>
      </c>
      <c r="Z74" s="11">
        <v>1138</v>
      </c>
      <c r="AB74" s="12">
        <v>9243</v>
      </c>
      <c r="AC74" s="12">
        <v>21332</v>
      </c>
      <c r="AD74" s="12">
        <f>AB74+AC74</f>
        <v>30575</v>
      </c>
      <c r="AE74" s="13">
        <f>AD74/Z74</f>
        <v>26.867311072056239</v>
      </c>
      <c r="AG74" s="12">
        <v>12623</v>
      </c>
      <c r="AH74" s="11" t="s">
        <v>8</v>
      </c>
      <c r="AI74" s="13">
        <f>AG74/Z74</f>
        <v>11.092267135325132</v>
      </c>
      <c r="AJ74" s="12">
        <f>AG74*9.769</f>
        <v>123314.087</v>
      </c>
      <c r="AK74" s="13">
        <f>AJ74/Z74</f>
        <v>108.36035764499121</v>
      </c>
      <c r="AM74" s="13">
        <f>AE74+AK74</f>
        <v>135.22766871704744</v>
      </c>
      <c r="AO74" s="34">
        <f>(AM74-BD74)/AM74</f>
        <v>0.18726831487407539</v>
      </c>
      <c r="AQ74" s="11">
        <f>Z74</f>
        <v>1138</v>
      </c>
      <c r="AS74" s="12">
        <f>AB74</f>
        <v>9243</v>
      </c>
      <c r="AT74" s="12">
        <f>AC74</f>
        <v>21332</v>
      </c>
      <c r="AU74" s="12">
        <f>AD74</f>
        <v>30575</v>
      </c>
      <c r="AV74" s="53">
        <f>AU74/AQ74</f>
        <v>26.867311072056239</v>
      </c>
      <c r="AX74" s="12">
        <f>AQ74*AZ74</f>
        <v>9673</v>
      </c>
      <c r="AY74" s="11" t="str">
        <f t="shared" ref="AX74:AZ75" si="77">AH74</f>
        <v>m3</v>
      </c>
      <c r="AZ74" s="59">
        <v>8.5</v>
      </c>
      <c r="BA74" s="12">
        <f>AX74*9.769</f>
        <v>94495.536999999997</v>
      </c>
      <c r="BB74" s="13">
        <f>BA74/AQ74</f>
        <v>83.036500000000004</v>
      </c>
      <c r="BC74" s="53"/>
      <c r="BD74" s="53">
        <f t="shared" si="63"/>
        <v>109.90381107205624</v>
      </c>
      <c r="BG74" s="10">
        <v>2029</v>
      </c>
      <c r="BH74" s="10">
        <v>2029</v>
      </c>
      <c r="BI74" s="10">
        <v>2029</v>
      </c>
      <c r="BK74" s="5">
        <v>75</v>
      </c>
    </row>
    <row r="75" spans="1:63" x14ac:dyDescent="0.2">
      <c r="A75" s="5">
        <v>69</v>
      </c>
      <c r="C75" s="2">
        <v>69</v>
      </c>
      <c r="D75" s="2">
        <v>69</v>
      </c>
      <c r="E75" s="8">
        <f>1966+352</f>
        <v>2318</v>
      </c>
      <c r="F75" s="8">
        <v>1981</v>
      </c>
      <c r="G75" s="7" t="s">
        <v>70</v>
      </c>
      <c r="H75" s="2"/>
      <c r="I75" s="23">
        <v>2318</v>
      </c>
      <c r="J75" s="23"/>
      <c r="K75" s="12">
        <v>29442</v>
      </c>
      <c r="L75" s="12">
        <v>49807</v>
      </c>
      <c r="M75" s="12">
        <f t="shared" si="70"/>
        <v>79249</v>
      </c>
      <c r="N75" s="13">
        <f t="shared" si="71"/>
        <v>34.188524590163937</v>
      </c>
      <c r="P75" s="12">
        <v>17605</v>
      </c>
      <c r="Q75" s="11" t="s">
        <v>8</v>
      </c>
      <c r="R75" s="13">
        <f t="shared" si="72"/>
        <v>7.5949094046591892</v>
      </c>
      <c r="S75" s="12">
        <f t="shared" si="73"/>
        <v>171983.245</v>
      </c>
      <c r="T75" s="13">
        <f t="shared" si="74"/>
        <v>74.194669974115612</v>
      </c>
      <c r="V75" s="13">
        <f t="shared" si="75"/>
        <v>108.38319456427955</v>
      </c>
      <c r="X75" s="34">
        <f t="shared" si="76"/>
        <v>-5.962241033192224E-2</v>
      </c>
      <c r="Z75" s="11">
        <v>2318</v>
      </c>
      <c r="AB75" s="12">
        <v>27557</v>
      </c>
      <c r="AC75" s="12">
        <v>50181</v>
      </c>
      <c r="AD75" s="12">
        <f>AB75+AC75</f>
        <v>77738</v>
      </c>
      <c r="AE75" s="13">
        <f>AD75/Z75</f>
        <v>33.536669542709234</v>
      </c>
      <c r="AG75" s="12">
        <v>19293</v>
      </c>
      <c r="AH75" s="11" t="s">
        <v>8</v>
      </c>
      <c r="AI75" s="13">
        <f>AG75/Z75</f>
        <v>8.3231233822260577</v>
      </c>
      <c r="AJ75" s="12">
        <f>AG75*9.769</f>
        <v>188473.31700000001</v>
      </c>
      <c r="AK75" s="13">
        <f>AJ75/Z75</f>
        <v>81.308592320966355</v>
      </c>
      <c r="AM75" s="13">
        <f>AE75+AK75</f>
        <v>114.84526186367559</v>
      </c>
      <c r="AO75" s="34">
        <f>(AM75-BD75)/AM75</f>
        <v>0.15309266510258826</v>
      </c>
      <c r="AQ75" s="11">
        <f>Z75</f>
        <v>2318</v>
      </c>
      <c r="AS75" s="12">
        <f>AB75</f>
        <v>27557</v>
      </c>
      <c r="AT75" s="12">
        <f>AC75</f>
        <v>50181</v>
      </c>
      <c r="AU75" s="35">
        <f>AD75-(0.95*130000*0.33)</f>
        <v>36983</v>
      </c>
      <c r="AV75" s="59">
        <f>AU75/AQ75</f>
        <v>15.954702329594477</v>
      </c>
      <c r="AX75" s="12">
        <f>AQ75*AZ75</f>
        <v>19293.000000000004</v>
      </c>
      <c r="AY75" s="11" t="str">
        <f t="shared" si="77"/>
        <v>m3</v>
      </c>
      <c r="AZ75" s="53">
        <f t="shared" si="77"/>
        <v>8.3231233822260577</v>
      </c>
      <c r="BA75" s="12">
        <f>AX75*9.769</f>
        <v>188473.31700000004</v>
      </c>
      <c r="BB75" s="13">
        <f>BA75/AQ75</f>
        <v>81.308592320966369</v>
      </c>
      <c r="BC75" s="53"/>
      <c r="BD75" s="53">
        <f t="shared" si="63"/>
        <v>97.263294650560852</v>
      </c>
      <c r="BF75" s="65" t="s">
        <v>43</v>
      </c>
      <c r="BG75" s="10">
        <v>2029</v>
      </c>
      <c r="BH75" s="10">
        <v>2029</v>
      </c>
      <c r="BI75" s="10">
        <v>2029</v>
      </c>
      <c r="BK75" s="5">
        <v>76</v>
      </c>
    </row>
    <row r="76" spans="1:63" x14ac:dyDescent="0.2">
      <c r="A76" s="5">
        <v>70</v>
      </c>
      <c r="C76" s="1">
        <v>70</v>
      </c>
      <c r="D76" s="1">
        <v>70</v>
      </c>
      <c r="E76" s="8">
        <v>1526</v>
      </c>
      <c r="F76" s="8">
        <v>1965</v>
      </c>
      <c r="G76" s="7" t="s">
        <v>70</v>
      </c>
      <c r="H76" s="2"/>
      <c r="I76" s="23">
        <v>1526</v>
      </c>
      <c r="J76" s="23"/>
      <c r="K76" s="12">
        <v>11760</v>
      </c>
      <c r="L76" s="12">
        <v>6403</v>
      </c>
      <c r="M76" s="12">
        <f t="shared" si="70"/>
        <v>18163</v>
      </c>
      <c r="N76" s="13">
        <f t="shared" si="71"/>
        <v>11.902359108781127</v>
      </c>
      <c r="P76" s="12">
        <v>18604</v>
      </c>
      <c r="Q76" s="11" t="s">
        <v>8</v>
      </c>
      <c r="R76" s="13">
        <f t="shared" si="72"/>
        <v>12.191349934469201</v>
      </c>
      <c r="S76" s="12">
        <f t="shared" si="73"/>
        <v>181742.476</v>
      </c>
      <c r="T76" s="13">
        <f t="shared" si="74"/>
        <v>119.09729750982962</v>
      </c>
      <c r="V76" s="13">
        <f t="shared" si="75"/>
        <v>130.99965661861074</v>
      </c>
      <c r="X76" s="34">
        <f t="shared" si="76"/>
        <v>1</v>
      </c>
      <c r="Z76" s="48"/>
      <c r="AA76" s="48"/>
      <c r="AB76" s="49"/>
      <c r="AC76" s="49"/>
      <c r="AD76" s="49"/>
      <c r="AE76" s="50"/>
      <c r="AF76" s="48"/>
      <c r="AG76" s="49"/>
      <c r="AH76" s="48"/>
      <c r="AI76" s="48"/>
      <c r="AJ76" s="48"/>
      <c r="AK76" s="48"/>
      <c r="AL76" s="48"/>
      <c r="AM76" s="48"/>
      <c r="AO76" s="34"/>
      <c r="AQ76" s="48"/>
      <c r="AR76" s="48"/>
      <c r="AS76" s="49"/>
      <c r="AT76" s="49"/>
      <c r="AU76" s="49"/>
      <c r="AV76" s="55"/>
      <c r="AW76" s="48"/>
      <c r="AX76" s="49"/>
      <c r="AY76" s="48"/>
      <c r="AZ76" s="55"/>
      <c r="BA76" s="49"/>
      <c r="BB76" s="55"/>
      <c r="BC76" s="55"/>
      <c r="BD76" s="55">
        <f t="shared" si="63"/>
        <v>0</v>
      </c>
      <c r="BG76" s="5"/>
      <c r="BH76" s="5"/>
      <c r="BI76" s="5"/>
      <c r="BK76" s="5">
        <v>77</v>
      </c>
    </row>
    <row r="77" spans="1:63" x14ac:dyDescent="0.2">
      <c r="A77" s="5">
        <v>71</v>
      </c>
      <c r="C77" s="2">
        <v>71</v>
      </c>
      <c r="D77" s="2">
        <v>71</v>
      </c>
      <c r="E77" s="8">
        <v>1676</v>
      </c>
      <c r="F77" s="8">
        <v>1968</v>
      </c>
      <c r="G77" s="7" t="s">
        <v>70</v>
      </c>
      <c r="H77" s="2"/>
      <c r="I77" s="23">
        <v>1676</v>
      </c>
      <c r="J77" s="23"/>
      <c r="K77" s="12">
        <v>12384</v>
      </c>
      <c r="L77" s="12">
        <v>33699</v>
      </c>
      <c r="M77" s="12">
        <f t="shared" si="70"/>
        <v>46083</v>
      </c>
      <c r="N77" s="13">
        <f t="shared" si="71"/>
        <v>27.495823389021481</v>
      </c>
      <c r="P77" s="12">
        <v>13626</v>
      </c>
      <c r="Q77" s="11" t="s">
        <v>8</v>
      </c>
      <c r="R77" s="13">
        <f t="shared" si="72"/>
        <v>8.1300715990453458</v>
      </c>
      <c r="S77" s="12">
        <f t="shared" si="73"/>
        <v>133112.394</v>
      </c>
      <c r="T77" s="13">
        <f t="shared" si="74"/>
        <v>79.422669451073986</v>
      </c>
      <c r="V77" s="13">
        <f t="shared" si="75"/>
        <v>106.91849284009547</v>
      </c>
      <c r="X77" s="34">
        <f t="shared" si="76"/>
        <v>-0.12074364478363753</v>
      </c>
      <c r="Z77" s="11">
        <v>1676</v>
      </c>
      <c r="AB77" s="12">
        <v>16558</v>
      </c>
      <c r="AC77" s="12">
        <v>41930</v>
      </c>
      <c r="AD77" s="12">
        <f t="shared" ref="AD77:AD90" si="78">AB77+AC77</f>
        <v>58488</v>
      </c>
      <c r="AE77" s="13">
        <f t="shared" ref="AE77:AE90" si="79">AD77/Z77</f>
        <v>34.897374701670643</v>
      </c>
      <c r="AG77" s="12">
        <v>14571</v>
      </c>
      <c r="AH77" s="11" t="s">
        <v>8</v>
      </c>
      <c r="AI77" s="13">
        <f t="shared" ref="AI77:AI90" si="80">AG77/Z77</f>
        <v>8.6939140811455839</v>
      </c>
      <c r="AJ77" s="12">
        <f>AG77*9.769</f>
        <v>142344.09899999999</v>
      </c>
      <c r="AK77" s="13">
        <f t="shared" ref="AK77:AK90" si="81">AJ77/Z77</f>
        <v>84.930846658711204</v>
      </c>
      <c r="AM77" s="13">
        <f t="shared" ref="AM77:AM90" si="82">AE77+AK77</f>
        <v>119.82822136038185</v>
      </c>
      <c r="AO77" s="34">
        <f t="shared" ref="AO77:AO90" si="83">(AM77-BD77)/AM77</f>
        <v>0.74964161480979186</v>
      </c>
      <c r="AQ77" s="36">
        <f t="shared" ref="AQ77:AQ83" si="84">Z77</f>
        <v>1676</v>
      </c>
      <c r="AR77" s="36"/>
      <c r="AS77" s="35"/>
      <c r="AT77" s="35"/>
      <c r="AU77" s="35">
        <f>AQ77*AV77</f>
        <v>50280</v>
      </c>
      <c r="AV77" s="37">
        <v>30</v>
      </c>
      <c r="AW77" s="36"/>
      <c r="AX77" s="36"/>
      <c r="AY77" s="36" t="s">
        <v>72</v>
      </c>
      <c r="AZ77" s="36"/>
      <c r="BA77" s="36"/>
      <c r="BB77" s="36"/>
      <c r="BC77" s="36"/>
      <c r="BD77" s="37">
        <f t="shared" si="63"/>
        <v>30</v>
      </c>
      <c r="BF77" s="65" t="s">
        <v>39</v>
      </c>
      <c r="BG77" s="5"/>
      <c r="BH77" s="5"/>
      <c r="BI77" s="5"/>
      <c r="BK77" s="5">
        <v>78</v>
      </c>
    </row>
    <row r="78" spans="1:63" x14ac:dyDescent="0.2">
      <c r="A78" s="5">
        <v>72</v>
      </c>
      <c r="C78" s="2">
        <v>72</v>
      </c>
      <c r="D78" s="2">
        <v>72</v>
      </c>
      <c r="E78" s="8">
        <v>2021</v>
      </c>
      <c r="F78" s="8">
        <v>1998</v>
      </c>
      <c r="G78" s="7" t="s">
        <v>70</v>
      </c>
      <c r="H78" s="2"/>
      <c r="I78" s="23">
        <v>2021</v>
      </c>
      <c r="J78" s="23"/>
      <c r="K78" s="12">
        <v>13770</v>
      </c>
      <c r="L78" s="12">
        <v>35719</v>
      </c>
      <c r="M78" s="12">
        <f t="shared" si="70"/>
        <v>49489</v>
      </c>
      <c r="N78" s="13">
        <f t="shared" si="71"/>
        <v>24.487382483918854</v>
      </c>
      <c r="P78" s="12">
        <v>11043</v>
      </c>
      <c r="Q78" s="11" t="s">
        <v>8</v>
      </c>
      <c r="R78" s="13">
        <f t="shared" si="72"/>
        <v>5.4641266699653634</v>
      </c>
      <c r="S78" s="12">
        <f t="shared" si="73"/>
        <v>107879.067</v>
      </c>
      <c r="T78" s="13">
        <f t="shared" si="74"/>
        <v>53.379053438891638</v>
      </c>
      <c r="V78" s="13">
        <f t="shared" si="75"/>
        <v>77.866435922810496</v>
      </c>
      <c r="X78" s="34">
        <f t="shared" si="76"/>
        <v>-7.8043876589015931E-2</v>
      </c>
      <c r="Z78" s="11">
        <v>2021</v>
      </c>
      <c r="AB78" s="12">
        <v>13667</v>
      </c>
      <c r="AC78" s="12">
        <v>38276</v>
      </c>
      <c r="AD78" s="12">
        <f t="shared" si="78"/>
        <v>51943</v>
      </c>
      <c r="AE78" s="13">
        <f t="shared" si="79"/>
        <v>25.701632855022265</v>
      </c>
      <c r="AG78" s="12">
        <v>12049</v>
      </c>
      <c r="AH78" s="11" t="s">
        <v>8</v>
      </c>
      <c r="AI78" s="13">
        <f t="shared" si="80"/>
        <v>5.9619000494804553</v>
      </c>
      <c r="AJ78" s="12">
        <f>AG78*9.769</f>
        <v>117706.681</v>
      </c>
      <c r="AK78" s="13">
        <f t="shared" si="81"/>
        <v>58.241801583374567</v>
      </c>
      <c r="AM78" s="13">
        <f t="shared" si="82"/>
        <v>83.943434438396835</v>
      </c>
      <c r="AO78" s="34">
        <f t="shared" si="83"/>
        <v>0</v>
      </c>
      <c r="AQ78" s="11">
        <f t="shared" si="84"/>
        <v>2021</v>
      </c>
      <c r="AS78" s="12">
        <f>AB78</f>
        <v>13667</v>
      </c>
      <c r="AT78" s="12">
        <f>AC78</f>
        <v>38276</v>
      </c>
      <c r="AU78" s="12">
        <f>AD78</f>
        <v>51943</v>
      </c>
      <c r="AV78" s="53">
        <f t="shared" ref="AV78:AV83" si="85">AU78/AQ78</f>
        <v>25.701632855022265</v>
      </c>
      <c r="AX78" s="12">
        <f>AQ78*AZ78</f>
        <v>12049</v>
      </c>
      <c r="AY78" s="11" t="str">
        <f t="shared" ref="AX78:AZ83" si="86">AH78</f>
        <v>m3</v>
      </c>
      <c r="AZ78" s="53">
        <f t="shared" si="86"/>
        <v>5.9619000494804553</v>
      </c>
      <c r="BA78" s="12">
        <f>AX78*9.769</f>
        <v>117706.681</v>
      </c>
      <c r="BB78" s="13">
        <f>BA78/AQ78</f>
        <v>58.241801583374567</v>
      </c>
      <c r="BC78" s="53"/>
      <c r="BD78" s="53">
        <f t="shared" si="63"/>
        <v>83.943434438396835</v>
      </c>
      <c r="BH78" s="60" t="s">
        <v>68</v>
      </c>
      <c r="BI78" s="60" t="s">
        <v>9</v>
      </c>
      <c r="BK78" s="5">
        <v>79</v>
      </c>
    </row>
    <row r="79" spans="1:63" x14ac:dyDescent="0.2">
      <c r="A79" s="5">
        <v>73</v>
      </c>
      <c r="C79" s="1">
        <v>73</v>
      </c>
      <c r="D79" s="1">
        <v>73</v>
      </c>
      <c r="E79" s="8">
        <v>5500</v>
      </c>
      <c r="F79" s="8">
        <v>2015</v>
      </c>
      <c r="G79" s="7" t="s">
        <v>71</v>
      </c>
      <c r="H79" s="2"/>
      <c r="I79" s="23">
        <v>5500</v>
      </c>
      <c r="J79" s="23"/>
      <c r="K79" s="12">
        <v>47524</v>
      </c>
      <c r="L79" s="12">
        <v>158249</v>
      </c>
      <c r="M79" s="12">
        <f t="shared" si="70"/>
        <v>205773</v>
      </c>
      <c r="N79" s="13">
        <f t="shared" si="71"/>
        <v>37.413272727272727</v>
      </c>
      <c r="P79" s="26">
        <v>824.88</v>
      </c>
      <c r="Q79" s="11" t="s">
        <v>17</v>
      </c>
      <c r="R79" s="24">
        <f t="shared" si="72"/>
        <v>0.14997818181818182</v>
      </c>
      <c r="S79" s="12">
        <f>P79*277.78</f>
        <v>229135.16639999999</v>
      </c>
      <c r="T79" s="13">
        <f t="shared" si="74"/>
        <v>41.660939345454544</v>
      </c>
      <c r="V79" s="13">
        <f t="shared" si="75"/>
        <v>79.074212072727278</v>
      </c>
      <c r="X79" s="34">
        <f t="shared" si="76"/>
        <v>-8.1031036716812346E-2</v>
      </c>
      <c r="Z79" s="11">
        <v>5500</v>
      </c>
      <c r="AB79" s="12">
        <v>57174</v>
      </c>
      <c r="AC79" s="12">
        <v>162501</v>
      </c>
      <c r="AD79" s="12">
        <f t="shared" si="78"/>
        <v>219675</v>
      </c>
      <c r="AE79" s="13">
        <f t="shared" si="79"/>
        <v>39.940909090909088</v>
      </c>
      <c r="AG79" s="12">
        <v>901.7</v>
      </c>
      <c r="AH79" s="11" t="s">
        <v>17</v>
      </c>
      <c r="AI79" s="24">
        <f t="shared" si="80"/>
        <v>0.16394545454545456</v>
      </c>
      <c r="AJ79" s="12">
        <f>AG79*277.78</f>
        <v>250474.226</v>
      </c>
      <c r="AK79" s="13">
        <f t="shared" si="81"/>
        <v>45.54076836363636</v>
      </c>
      <c r="AM79" s="13">
        <f t="shared" si="82"/>
        <v>85.481677454545448</v>
      </c>
      <c r="AO79" s="34">
        <f t="shared" si="83"/>
        <v>0.17937177248484931</v>
      </c>
      <c r="AQ79" s="11">
        <f t="shared" si="84"/>
        <v>5500</v>
      </c>
      <c r="AS79" s="12">
        <f t="shared" ref="AS79:AT83" si="87">AB79</f>
        <v>57174</v>
      </c>
      <c r="AT79" s="12">
        <f t="shared" si="87"/>
        <v>162501</v>
      </c>
      <c r="AU79" s="35">
        <f>AD79-(0.95*269000*0.33)</f>
        <v>135343.5</v>
      </c>
      <c r="AV79" s="59">
        <f t="shared" si="85"/>
        <v>24.607909090909089</v>
      </c>
      <c r="AX79" s="12">
        <f t="shared" si="86"/>
        <v>901.7</v>
      </c>
      <c r="AY79" s="11" t="str">
        <f t="shared" si="86"/>
        <v>GJ</v>
      </c>
      <c r="AZ79" s="62">
        <f t="shared" si="86"/>
        <v>0.16394545454545456</v>
      </c>
      <c r="BA79" s="12">
        <f>AJ79</f>
        <v>250474.226</v>
      </c>
      <c r="BB79" s="53">
        <f>AK79</f>
        <v>45.54076836363636</v>
      </c>
      <c r="BC79" s="53"/>
      <c r="BD79" s="53">
        <f t="shared" si="63"/>
        <v>70.148677454545449</v>
      </c>
      <c r="BF79" s="65" t="s">
        <v>44</v>
      </c>
      <c r="BG79" s="5"/>
      <c r="BH79" s="5"/>
      <c r="BI79" s="5"/>
      <c r="BK79" s="5">
        <v>80</v>
      </c>
    </row>
    <row r="80" spans="1:63" x14ac:dyDescent="0.2">
      <c r="A80" s="5">
        <v>74</v>
      </c>
      <c r="C80" s="2">
        <v>74</v>
      </c>
      <c r="D80" s="2">
        <v>74</v>
      </c>
      <c r="E80" s="8">
        <v>1250</v>
      </c>
      <c r="F80" s="8">
        <v>1997</v>
      </c>
      <c r="G80" s="7" t="s">
        <v>70</v>
      </c>
      <c r="H80" s="2"/>
      <c r="I80" s="23">
        <v>1250</v>
      </c>
      <c r="J80" s="23"/>
      <c r="K80" s="12">
        <v>7370</v>
      </c>
      <c r="L80" s="12">
        <v>20977</v>
      </c>
      <c r="M80" s="12">
        <f t="shared" si="70"/>
        <v>28347</v>
      </c>
      <c r="N80" s="13">
        <f t="shared" si="71"/>
        <v>22.677600000000002</v>
      </c>
      <c r="P80" s="12">
        <v>9009</v>
      </c>
      <c r="Q80" s="11" t="s">
        <v>8</v>
      </c>
      <c r="R80" s="13">
        <f t="shared" si="72"/>
        <v>7.2072000000000003</v>
      </c>
      <c r="S80" s="12">
        <f t="shared" ref="S80:S86" si="88">P80*9.769</f>
        <v>88008.921000000002</v>
      </c>
      <c r="T80" s="13">
        <f t="shared" si="74"/>
        <v>70.407136800000004</v>
      </c>
      <c r="V80" s="13">
        <f t="shared" si="75"/>
        <v>93.084736800000002</v>
      </c>
      <c r="X80" s="34">
        <f t="shared" si="76"/>
        <v>-5.2043771799116109E-2</v>
      </c>
      <c r="Z80" s="11">
        <v>1250</v>
      </c>
      <c r="AB80" s="12">
        <v>6908</v>
      </c>
      <c r="AC80" s="12">
        <v>20373</v>
      </c>
      <c r="AD80" s="12">
        <f t="shared" si="78"/>
        <v>27281</v>
      </c>
      <c r="AE80" s="13">
        <f t="shared" si="79"/>
        <v>21.8248</v>
      </c>
      <c r="AG80" s="12">
        <v>9738</v>
      </c>
      <c r="AH80" s="11" t="s">
        <v>8</v>
      </c>
      <c r="AI80" s="13">
        <f t="shared" si="80"/>
        <v>7.7904</v>
      </c>
      <c r="AJ80" s="12">
        <f t="shared" ref="AJ80:AJ86" si="89">AG80*9.769</f>
        <v>95130.521999999997</v>
      </c>
      <c r="AK80" s="13">
        <f t="shared" si="81"/>
        <v>76.104417599999991</v>
      </c>
      <c r="AM80" s="13">
        <f t="shared" si="82"/>
        <v>97.929217599999987</v>
      </c>
      <c r="AO80" s="34">
        <f t="shared" si="83"/>
        <v>0</v>
      </c>
      <c r="AQ80" s="11">
        <f t="shared" si="84"/>
        <v>1250</v>
      </c>
      <c r="AS80" s="12">
        <f t="shared" si="87"/>
        <v>6908</v>
      </c>
      <c r="AT80" s="12">
        <f t="shared" si="87"/>
        <v>20373</v>
      </c>
      <c r="AU80" s="12">
        <f>AD80</f>
        <v>27281</v>
      </c>
      <c r="AV80" s="53">
        <f t="shared" si="85"/>
        <v>21.8248</v>
      </c>
      <c r="AX80" s="12">
        <f>AQ80*AZ80</f>
        <v>9738</v>
      </c>
      <c r="AY80" s="11" t="str">
        <f t="shared" si="86"/>
        <v>m3</v>
      </c>
      <c r="AZ80" s="53">
        <f t="shared" si="86"/>
        <v>7.7904</v>
      </c>
      <c r="BA80" s="12">
        <f>AX80*9.769</f>
        <v>95130.521999999997</v>
      </c>
      <c r="BB80" s="13">
        <f>BA80/AQ80</f>
        <v>76.104417599999991</v>
      </c>
      <c r="BC80" s="53"/>
      <c r="BD80" s="53">
        <f t="shared" si="63"/>
        <v>97.929217599999987</v>
      </c>
      <c r="BH80" s="60" t="s">
        <v>68</v>
      </c>
      <c r="BI80" s="60" t="s">
        <v>9</v>
      </c>
      <c r="BK80" s="5">
        <v>81</v>
      </c>
    </row>
    <row r="81" spans="1:63" x14ac:dyDescent="0.2">
      <c r="A81" s="5">
        <v>75</v>
      </c>
      <c r="C81" s="2">
        <v>75</v>
      </c>
      <c r="D81" s="2">
        <v>75</v>
      </c>
      <c r="E81" s="8">
        <v>1563</v>
      </c>
      <c r="F81" s="8">
        <v>1980</v>
      </c>
      <c r="G81" s="7" t="s">
        <v>70</v>
      </c>
      <c r="H81" s="2"/>
      <c r="I81" s="23">
        <v>1563</v>
      </c>
      <c r="J81" s="23"/>
      <c r="K81" s="12">
        <v>11707</v>
      </c>
      <c r="L81" s="12">
        <v>35351</v>
      </c>
      <c r="M81" s="12">
        <f t="shared" si="70"/>
        <v>47058</v>
      </c>
      <c r="N81" s="13">
        <f t="shared" si="71"/>
        <v>30.107485604606527</v>
      </c>
      <c r="P81" s="12">
        <v>17387</v>
      </c>
      <c r="Q81" s="11" t="s">
        <v>8</v>
      </c>
      <c r="R81" s="13">
        <f t="shared" si="72"/>
        <v>11.124120281509917</v>
      </c>
      <c r="S81" s="12">
        <f t="shared" si="88"/>
        <v>169853.603</v>
      </c>
      <c r="T81" s="13">
        <f t="shared" si="74"/>
        <v>108.67153103007038</v>
      </c>
      <c r="V81" s="13">
        <f t="shared" si="75"/>
        <v>138.77901663467691</v>
      </c>
      <c r="X81" s="34">
        <f t="shared" si="76"/>
        <v>2.8139421384479842E-2</v>
      </c>
      <c r="Z81" s="11">
        <v>1563</v>
      </c>
      <c r="AB81" s="43">
        <v>9982</v>
      </c>
      <c r="AC81" s="43">
        <v>34323</v>
      </c>
      <c r="AD81" s="12">
        <f t="shared" si="78"/>
        <v>44305</v>
      </c>
      <c r="AE81" s="13">
        <f t="shared" si="79"/>
        <v>28.346129238643634</v>
      </c>
      <c r="AG81" s="12">
        <v>17044</v>
      </c>
      <c r="AH81" s="11" t="s">
        <v>8</v>
      </c>
      <c r="AI81" s="13">
        <f t="shared" si="80"/>
        <v>10.90467050543826</v>
      </c>
      <c r="AJ81" s="12">
        <f t="shared" si="89"/>
        <v>166502.83600000001</v>
      </c>
      <c r="AK81" s="13">
        <f t="shared" si="81"/>
        <v>106.52772616762637</v>
      </c>
      <c r="AM81" s="13">
        <f t="shared" si="82"/>
        <v>134.87385540627</v>
      </c>
      <c r="AO81" s="34">
        <f t="shared" si="83"/>
        <v>0.26904496330013083</v>
      </c>
      <c r="AQ81" s="11">
        <f t="shared" si="84"/>
        <v>1563</v>
      </c>
      <c r="AS81" s="12">
        <f t="shared" si="87"/>
        <v>9982</v>
      </c>
      <c r="AT81" s="12">
        <f t="shared" si="87"/>
        <v>34323</v>
      </c>
      <c r="AU81" s="35">
        <f>AD81-10000-10000</f>
        <v>24305</v>
      </c>
      <c r="AV81" s="59">
        <f t="shared" si="85"/>
        <v>15.55022392834293</v>
      </c>
      <c r="AX81" s="12">
        <f>AQ81*AZ81</f>
        <v>13285.5</v>
      </c>
      <c r="AY81" s="11" t="str">
        <f t="shared" si="86"/>
        <v>m3</v>
      </c>
      <c r="AZ81" s="59">
        <v>8.5</v>
      </c>
      <c r="BA81" s="12">
        <f>AX81*9.769</f>
        <v>129786.04950000001</v>
      </c>
      <c r="BB81" s="13">
        <f>BA81/AQ81</f>
        <v>83.036500000000004</v>
      </c>
      <c r="BC81" s="53"/>
      <c r="BD81" s="53">
        <f t="shared" si="63"/>
        <v>98.586723928342934</v>
      </c>
      <c r="BF81" s="65" t="s">
        <v>42</v>
      </c>
      <c r="BG81" s="10">
        <v>2029</v>
      </c>
      <c r="BH81" s="10">
        <v>2029</v>
      </c>
      <c r="BI81" s="10">
        <v>2029</v>
      </c>
      <c r="BK81" s="5">
        <v>82</v>
      </c>
    </row>
    <row r="82" spans="1:63" x14ac:dyDescent="0.2">
      <c r="A82" s="5">
        <v>76</v>
      </c>
      <c r="C82" s="1">
        <v>76</v>
      </c>
      <c r="D82" s="1">
        <v>76</v>
      </c>
      <c r="E82" s="8">
        <v>915</v>
      </c>
      <c r="F82" s="8">
        <v>1981</v>
      </c>
      <c r="G82" s="7" t="s">
        <v>70</v>
      </c>
      <c r="H82" s="2"/>
      <c r="I82" s="23">
        <v>915</v>
      </c>
      <c r="J82" s="23"/>
      <c r="K82" s="12">
        <v>5561</v>
      </c>
      <c r="L82" s="12">
        <v>24300</v>
      </c>
      <c r="M82" s="12">
        <f t="shared" si="70"/>
        <v>29861</v>
      </c>
      <c r="N82" s="13">
        <f t="shared" si="71"/>
        <v>32.634972677595627</v>
      </c>
      <c r="P82" s="12">
        <v>15744</v>
      </c>
      <c r="Q82" s="11" t="s">
        <v>8</v>
      </c>
      <c r="R82" s="13">
        <f t="shared" si="72"/>
        <v>17.20655737704918</v>
      </c>
      <c r="S82" s="12">
        <f t="shared" si="88"/>
        <v>153803.136</v>
      </c>
      <c r="T82" s="13">
        <f t="shared" si="74"/>
        <v>168.09085901639344</v>
      </c>
      <c r="V82" s="13">
        <f t="shared" si="75"/>
        <v>200.72583169398905</v>
      </c>
      <c r="X82" s="34">
        <f t="shared" si="76"/>
        <v>-6.6220767237868822E-3</v>
      </c>
      <c r="Z82" s="11">
        <v>915</v>
      </c>
      <c r="AB82" s="12">
        <v>5237</v>
      </c>
      <c r="AC82" s="12">
        <v>22890</v>
      </c>
      <c r="AD82" s="12">
        <f t="shared" si="78"/>
        <v>28127</v>
      </c>
      <c r="AE82" s="13">
        <f t="shared" si="79"/>
        <v>30.739890710382515</v>
      </c>
      <c r="AG82" s="12">
        <v>16046</v>
      </c>
      <c r="AH82" s="11" t="s">
        <v>8</v>
      </c>
      <c r="AI82" s="13">
        <f t="shared" si="80"/>
        <v>17.536612021857923</v>
      </c>
      <c r="AJ82" s="12">
        <f t="shared" si="89"/>
        <v>156753.37400000001</v>
      </c>
      <c r="AK82" s="13">
        <f t="shared" si="81"/>
        <v>171.31516284153005</v>
      </c>
      <c r="AM82" s="13">
        <f t="shared" si="82"/>
        <v>202.05505355191258</v>
      </c>
      <c r="AO82" s="34">
        <f t="shared" si="83"/>
        <v>0.4369040085347296</v>
      </c>
      <c r="AQ82" s="11">
        <f t="shared" si="84"/>
        <v>915</v>
      </c>
      <c r="AS82" s="12">
        <f t="shared" si="87"/>
        <v>5237</v>
      </c>
      <c r="AT82" s="12">
        <f t="shared" si="87"/>
        <v>22890</v>
      </c>
      <c r="AU82" s="12">
        <f>AD82</f>
        <v>28127</v>
      </c>
      <c r="AV82" s="53">
        <f t="shared" si="85"/>
        <v>30.739890710382515</v>
      </c>
      <c r="AX82" s="12">
        <f>AQ82*AZ82</f>
        <v>7777.5</v>
      </c>
      <c r="AY82" s="11" t="str">
        <f t="shared" si="86"/>
        <v>m3</v>
      </c>
      <c r="AZ82" s="59">
        <v>8.5</v>
      </c>
      <c r="BA82" s="12">
        <f>AX82*9.769</f>
        <v>75978.397500000006</v>
      </c>
      <c r="BB82" s="13">
        <f>BA82/AQ82</f>
        <v>83.036500000000004</v>
      </c>
      <c r="BC82" s="53"/>
      <c r="BD82" s="53">
        <f t="shared" si="63"/>
        <v>113.77639071038251</v>
      </c>
      <c r="BG82" s="10">
        <v>2029</v>
      </c>
      <c r="BH82" s="10">
        <v>2029</v>
      </c>
      <c r="BI82" s="10">
        <v>2029</v>
      </c>
      <c r="BK82" s="5">
        <v>83</v>
      </c>
    </row>
    <row r="83" spans="1:63" x14ac:dyDescent="0.2">
      <c r="A83" s="5">
        <v>77</v>
      </c>
      <c r="C83" s="2">
        <v>77</v>
      </c>
      <c r="D83" s="2">
        <v>77</v>
      </c>
      <c r="E83" s="8">
        <v>1280</v>
      </c>
      <c r="F83" s="8">
        <v>2006</v>
      </c>
      <c r="G83" s="7" t="s">
        <v>70</v>
      </c>
      <c r="H83" s="2"/>
      <c r="I83" s="23">
        <v>1280</v>
      </c>
      <c r="J83" s="23"/>
      <c r="K83" s="12">
        <v>30838</v>
      </c>
      <c r="L83" s="12">
        <v>43842</v>
      </c>
      <c r="M83" s="12">
        <f t="shared" si="70"/>
        <v>74680</v>
      </c>
      <c r="N83" s="13">
        <f t="shared" si="71"/>
        <v>58.34375</v>
      </c>
      <c r="P83" s="12">
        <v>13477</v>
      </c>
      <c r="Q83" s="11" t="s">
        <v>8</v>
      </c>
      <c r="R83" s="13">
        <f t="shared" si="72"/>
        <v>10.52890625</v>
      </c>
      <c r="S83" s="12">
        <f t="shared" si="88"/>
        <v>131656.81299999999</v>
      </c>
      <c r="T83" s="13">
        <f t="shared" si="74"/>
        <v>102.85688515625</v>
      </c>
      <c r="V83" s="13">
        <f t="shared" si="75"/>
        <v>161.20063515625</v>
      </c>
      <c r="X83" s="34">
        <f t="shared" si="76"/>
        <v>0.28188127050309725</v>
      </c>
      <c r="Z83" s="11">
        <v>1280</v>
      </c>
      <c r="AB83" s="12">
        <v>13527</v>
      </c>
      <c r="AC83" s="12">
        <v>41158</v>
      </c>
      <c r="AD83" s="12">
        <f t="shared" si="78"/>
        <v>54685</v>
      </c>
      <c r="AE83" s="13">
        <f t="shared" si="79"/>
        <v>42.72265625</v>
      </c>
      <c r="AG83" s="12">
        <v>9570</v>
      </c>
      <c r="AH83" s="11" t="s">
        <v>8</v>
      </c>
      <c r="AI83" s="13">
        <f t="shared" si="80"/>
        <v>7.4765625</v>
      </c>
      <c r="AJ83" s="12">
        <f t="shared" si="89"/>
        <v>93489.33</v>
      </c>
      <c r="AK83" s="13">
        <f t="shared" si="81"/>
        <v>73.038539062500007</v>
      </c>
      <c r="AM83" s="13">
        <f t="shared" si="82"/>
        <v>115.76119531250001</v>
      </c>
      <c r="AO83" s="34">
        <f t="shared" si="83"/>
        <v>0</v>
      </c>
      <c r="AQ83" s="11">
        <f t="shared" si="84"/>
        <v>1280</v>
      </c>
      <c r="AS83" s="12">
        <f t="shared" si="87"/>
        <v>13527</v>
      </c>
      <c r="AT83" s="12">
        <f t="shared" si="87"/>
        <v>41158</v>
      </c>
      <c r="AU83" s="12">
        <f>AD83</f>
        <v>54685</v>
      </c>
      <c r="AV83" s="53">
        <f t="shared" si="85"/>
        <v>42.72265625</v>
      </c>
      <c r="AX83" s="12">
        <f>AQ83*AZ83</f>
        <v>9570</v>
      </c>
      <c r="AY83" s="11" t="str">
        <f t="shared" si="86"/>
        <v>m3</v>
      </c>
      <c r="AZ83" s="53">
        <f t="shared" si="86"/>
        <v>7.4765625</v>
      </c>
      <c r="BA83" s="12">
        <f>AX83*9.769</f>
        <v>93489.33</v>
      </c>
      <c r="BB83" s="13">
        <f>BA83/AQ83</f>
        <v>73.038539062500007</v>
      </c>
      <c r="BC83" s="53"/>
      <c r="BD83" s="53">
        <f t="shared" si="63"/>
        <v>115.76119531250001</v>
      </c>
      <c r="BF83" s="65" t="s">
        <v>56</v>
      </c>
      <c r="BH83" s="60" t="s">
        <v>68</v>
      </c>
      <c r="BI83" s="60" t="s">
        <v>9</v>
      </c>
      <c r="BK83" s="5">
        <v>84</v>
      </c>
    </row>
    <row r="84" spans="1:63" x14ac:dyDescent="0.2">
      <c r="A84" s="5">
        <v>78</v>
      </c>
      <c r="C84" s="2">
        <v>78</v>
      </c>
      <c r="D84" s="2">
        <v>78</v>
      </c>
      <c r="E84" s="8">
        <v>1543</v>
      </c>
      <c r="F84" s="8">
        <v>1964</v>
      </c>
      <c r="G84" s="7" t="s">
        <v>70</v>
      </c>
      <c r="H84" s="2"/>
      <c r="I84" s="23">
        <v>1543</v>
      </c>
      <c r="J84" s="23"/>
      <c r="K84" s="12">
        <v>7380</v>
      </c>
      <c r="L84" s="12">
        <v>20156</v>
      </c>
      <c r="M84" s="12">
        <f t="shared" si="70"/>
        <v>27536</v>
      </c>
      <c r="N84" s="13">
        <f t="shared" si="71"/>
        <v>17.845755022683086</v>
      </c>
      <c r="P84" s="12">
        <v>23567</v>
      </c>
      <c r="Q84" s="11" t="s">
        <v>8</v>
      </c>
      <c r="R84" s="13">
        <f t="shared" si="72"/>
        <v>15.273493195074531</v>
      </c>
      <c r="S84" s="12">
        <f t="shared" si="88"/>
        <v>230226.02300000002</v>
      </c>
      <c r="T84" s="13">
        <f t="shared" si="74"/>
        <v>149.2067550226831</v>
      </c>
      <c r="V84" s="13">
        <f t="shared" si="75"/>
        <v>167.05251004536618</v>
      </c>
      <c r="X84" s="34">
        <f t="shared" si="76"/>
        <v>4.3697546554404554E-2</v>
      </c>
      <c r="Z84" s="11">
        <v>1543</v>
      </c>
      <c r="AB84" s="12">
        <v>6676</v>
      </c>
      <c r="AC84" s="12">
        <v>18115</v>
      </c>
      <c r="AD84" s="12">
        <f t="shared" si="78"/>
        <v>24791</v>
      </c>
      <c r="AE84" s="13">
        <f t="shared" si="79"/>
        <v>16.066753078418664</v>
      </c>
      <c r="AG84" s="12">
        <v>22695</v>
      </c>
      <c r="AH84" s="11" t="s">
        <v>8</v>
      </c>
      <c r="AI84" s="13">
        <f t="shared" si="80"/>
        <v>14.708360337005832</v>
      </c>
      <c r="AJ84" s="12">
        <f t="shared" si="89"/>
        <v>221707.45500000002</v>
      </c>
      <c r="AK84" s="13">
        <f t="shared" si="81"/>
        <v>143.68597213221</v>
      </c>
      <c r="AM84" s="13">
        <f t="shared" si="82"/>
        <v>159.75272521062865</v>
      </c>
      <c r="AO84" s="34">
        <f t="shared" si="83"/>
        <v>1</v>
      </c>
      <c r="AQ84" s="56"/>
      <c r="AR84" s="56"/>
      <c r="AS84" s="51"/>
      <c r="AT84" s="51"/>
      <c r="AU84" s="51"/>
      <c r="AV84" s="57"/>
      <c r="AW84" s="56"/>
      <c r="AX84" s="51"/>
      <c r="AY84" s="56"/>
      <c r="AZ84" s="57"/>
      <c r="BA84" s="51"/>
      <c r="BB84" s="57"/>
      <c r="BC84" s="57"/>
      <c r="BD84" s="57">
        <f t="shared" si="63"/>
        <v>0</v>
      </c>
      <c r="BF84" s="65" t="s">
        <v>77</v>
      </c>
      <c r="BG84" s="5"/>
      <c r="BH84" s="5"/>
      <c r="BI84" s="5"/>
      <c r="BK84" s="5">
        <v>85</v>
      </c>
    </row>
    <row r="85" spans="1:63" x14ac:dyDescent="0.2">
      <c r="A85" s="5">
        <v>79</v>
      </c>
      <c r="C85" s="1">
        <v>79</v>
      </c>
      <c r="D85" s="1">
        <v>79</v>
      </c>
      <c r="E85" s="8">
        <v>2078</v>
      </c>
      <c r="F85" s="8">
        <v>1954</v>
      </c>
      <c r="G85" s="7" t="s">
        <v>70</v>
      </c>
      <c r="H85" s="2"/>
      <c r="I85" s="23">
        <v>2078</v>
      </c>
      <c r="J85" s="23"/>
      <c r="K85" s="12">
        <v>20080</v>
      </c>
      <c r="L85" s="12">
        <v>46200</v>
      </c>
      <c r="M85" s="12">
        <f t="shared" si="70"/>
        <v>66280</v>
      </c>
      <c r="N85" s="13">
        <f t="shared" si="71"/>
        <v>31.896053897978828</v>
      </c>
      <c r="P85" s="12">
        <v>27016</v>
      </c>
      <c r="Q85" s="11" t="s">
        <v>8</v>
      </c>
      <c r="R85" s="13">
        <f t="shared" si="72"/>
        <v>13.000962463907603</v>
      </c>
      <c r="S85" s="12">
        <f t="shared" si="88"/>
        <v>263919.304</v>
      </c>
      <c r="T85" s="13">
        <f t="shared" si="74"/>
        <v>127.00640230991338</v>
      </c>
      <c r="V85" s="13">
        <f t="shared" si="75"/>
        <v>158.90245620789221</v>
      </c>
      <c r="X85" s="34">
        <f t="shared" si="76"/>
        <v>6.866005992550489E-2</v>
      </c>
      <c r="Z85" s="11">
        <v>2078</v>
      </c>
      <c r="AB85" s="12">
        <f>2180+7795</f>
        <v>9975</v>
      </c>
      <c r="AC85" s="12">
        <f>7220+24616</f>
        <v>31836</v>
      </c>
      <c r="AD85" s="12">
        <f t="shared" si="78"/>
        <v>41811</v>
      </c>
      <c r="AE85" s="13">
        <f t="shared" si="79"/>
        <v>20.120789220404234</v>
      </c>
      <c r="AG85" s="12">
        <v>27200</v>
      </c>
      <c r="AH85" s="11" t="s">
        <v>8</v>
      </c>
      <c r="AI85" s="13">
        <f t="shared" si="80"/>
        <v>13.089509143407122</v>
      </c>
      <c r="AJ85" s="12">
        <f t="shared" si="89"/>
        <v>265716.8</v>
      </c>
      <c r="AK85" s="13">
        <f t="shared" si="81"/>
        <v>127.87141482194417</v>
      </c>
      <c r="AM85" s="13">
        <f t="shared" si="82"/>
        <v>147.99220404234842</v>
      </c>
      <c r="AO85" s="34">
        <f t="shared" si="83"/>
        <v>0.30295457191187269</v>
      </c>
      <c r="AQ85" s="11">
        <f>Z85</f>
        <v>2078</v>
      </c>
      <c r="AS85" s="12">
        <f>AB85</f>
        <v>9975</v>
      </c>
      <c r="AT85" s="12">
        <f>AC85</f>
        <v>31836</v>
      </c>
      <c r="AU85" s="12">
        <f>AD85</f>
        <v>41811</v>
      </c>
      <c r="AV85" s="53">
        <f>AU85/AQ85</f>
        <v>20.120789220404234</v>
      </c>
      <c r="AX85" s="12">
        <f>AQ85*AZ85</f>
        <v>17663</v>
      </c>
      <c r="AY85" s="11" t="str">
        <f>AH85</f>
        <v>m3</v>
      </c>
      <c r="AZ85" s="59">
        <v>8.5</v>
      </c>
      <c r="BA85" s="12">
        <f>AX85*9.769</f>
        <v>172549.84700000001</v>
      </c>
      <c r="BB85" s="13">
        <f>BA85/AQ85</f>
        <v>83.036500000000004</v>
      </c>
      <c r="BC85" s="53"/>
      <c r="BD85" s="53">
        <f t="shared" si="63"/>
        <v>103.15728922040424</v>
      </c>
      <c r="BF85" s="65" t="s">
        <v>57</v>
      </c>
      <c r="BG85" s="10">
        <v>2029</v>
      </c>
      <c r="BH85" s="10">
        <v>2029</v>
      </c>
      <c r="BI85" s="10">
        <v>2029</v>
      </c>
      <c r="BK85" s="5">
        <v>86</v>
      </c>
    </row>
    <row r="86" spans="1:63" x14ac:dyDescent="0.2">
      <c r="A86" s="5">
        <v>80</v>
      </c>
      <c r="C86" s="2">
        <v>80</v>
      </c>
      <c r="D86" s="2">
        <v>80</v>
      </c>
      <c r="E86" s="8">
        <v>1181</v>
      </c>
      <c r="F86" s="8">
        <v>1965</v>
      </c>
      <c r="G86" s="7" t="s">
        <v>70</v>
      </c>
      <c r="H86" s="2"/>
      <c r="I86" s="23">
        <v>1181</v>
      </c>
      <c r="J86" s="23"/>
      <c r="K86" s="12">
        <v>7280</v>
      </c>
      <c r="L86" s="12">
        <v>12855</v>
      </c>
      <c r="M86" s="12">
        <f t="shared" si="70"/>
        <v>20135</v>
      </c>
      <c r="N86" s="13">
        <f t="shared" si="71"/>
        <v>17.049110922946657</v>
      </c>
      <c r="P86" s="12">
        <v>12966</v>
      </c>
      <c r="Q86" s="11" t="s">
        <v>8</v>
      </c>
      <c r="R86" s="13">
        <f t="shared" si="72"/>
        <v>10.978831498729891</v>
      </c>
      <c r="S86" s="12">
        <f t="shared" si="88"/>
        <v>126664.85400000001</v>
      </c>
      <c r="T86" s="13">
        <f t="shared" si="74"/>
        <v>107.25220491109231</v>
      </c>
      <c r="V86" s="13">
        <f t="shared" si="75"/>
        <v>124.30131583403896</v>
      </c>
      <c r="X86" s="34">
        <f t="shared" si="76"/>
        <v>-8.7673043598531064E-2</v>
      </c>
      <c r="Z86" s="11">
        <v>1181</v>
      </c>
      <c r="AB86" s="12">
        <v>6816</v>
      </c>
      <c r="AC86" s="12">
        <v>13392</v>
      </c>
      <c r="AD86" s="12">
        <f t="shared" si="78"/>
        <v>20208</v>
      </c>
      <c r="AE86" s="13">
        <f t="shared" si="79"/>
        <v>17.110922946655378</v>
      </c>
      <c r="AG86" s="12">
        <f>13113+1163</f>
        <v>14276</v>
      </c>
      <c r="AH86" s="11" t="s">
        <v>8</v>
      </c>
      <c r="AI86" s="13">
        <f t="shared" si="80"/>
        <v>12.088060965283658</v>
      </c>
      <c r="AJ86" s="12">
        <f t="shared" si="89"/>
        <v>139462.24400000001</v>
      </c>
      <c r="AK86" s="13">
        <f t="shared" si="81"/>
        <v>118.08826756985606</v>
      </c>
      <c r="AM86" s="13">
        <f t="shared" si="82"/>
        <v>135.19919051651144</v>
      </c>
      <c r="AO86" s="34">
        <f t="shared" si="83"/>
        <v>1</v>
      </c>
      <c r="AQ86" s="56"/>
      <c r="AR86" s="56"/>
      <c r="AS86" s="51"/>
      <c r="AT86" s="51"/>
      <c r="AU86" s="51"/>
      <c r="AV86" s="57"/>
      <c r="AW86" s="56"/>
      <c r="AX86" s="51"/>
      <c r="AY86" s="56"/>
      <c r="AZ86" s="57"/>
      <c r="BA86" s="51"/>
      <c r="BB86" s="57"/>
      <c r="BC86" s="57"/>
      <c r="BD86" s="57">
        <f t="shared" si="63"/>
        <v>0</v>
      </c>
      <c r="BF86" s="65" t="s">
        <v>77</v>
      </c>
      <c r="BG86" s="5"/>
      <c r="BH86" s="5"/>
      <c r="BI86" s="5"/>
      <c r="BK86" s="5">
        <v>87</v>
      </c>
    </row>
    <row r="87" spans="1:63" x14ac:dyDescent="0.2">
      <c r="A87" s="5">
        <v>81</v>
      </c>
      <c r="C87" s="2">
        <v>81</v>
      </c>
      <c r="D87" s="2">
        <v>81</v>
      </c>
      <c r="E87" s="8">
        <v>4370</v>
      </c>
      <c r="F87" s="8">
        <v>2012</v>
      </c>
      <c r="G87" s="7" t="s">
        <v>70</v>
      </c>
      <c r="H87" s="2"/>
      <c r="I87" s="23">
        <v>4370</v>
      </c>
      <c r="J87" s="23"/>
      <c r="K87" s="12">
        <v>51241</v>
      </c>
      <c r="L87" s="12">
        <v>176336</v>
      </c>
      <c r="M87" s="12">
        <f t="shared" si="70"/>
        <v>227577</v>
      </c>
      <c r="N87" s="13">
        <f t="shared" si="71"/>
        <v>52.077116704805491</v>
      </c>
      <c r="P87" s="29">
        <v>650</v>
      </c>
      <c r="Q87" s="11" t="s">
        <v>17</v>
      </c>
      <c r="R87" s="24">
        <f t="shared" si="72"/>
        <v>0.14874141876430205</v>
      </c>
      <c r="S87" s="12">
        <f>P87*277.78</f>
        <v>180556.99999999997</v>
      </c>
      <c r="T87" s="13">
        <f t="shared" si="74"/>
        <v>41.317391304347822</v>
      </c>
      <c r="V87" s="13">
        <f t="shared" si="75"/>
        <v>93.394508009153313</v>
      </c>
      <c r="X87" s="34">
        <f t="shared" si="76"/>
        <v>0.13987822626882357</v>
      </c>
      <c r="Z87" s="11">
        <v>4370</v>
      </c>
      <c r="AB87" s="12">
        <v>55010</v>
      </c>
      <c r="AC87" s="12">
        <v>192423</v>
      </c>
      <c r="AD87" s="12">
        <f t="shared" si="78"/>
        <v>247433</v>
      </c>
      <c r="AE87" s="13">
        <f t="shared" si="79"/>
        <v>56.620823798627001</v>
      </c>
      <c r="AG87" s="12">
        <v>373</v>
      </c>
      <c r="AH87" s="11" t="s">
        <v>17</v>
      </c>
      <c r="AI87" s="24">
        <f t="shared" si="80"/>
        <v>8.5354691075514869E-2</v>
      </c>
      <c r="AJ87" s="12">
        <f>AG87*277.78</f>
        <v>103611.93999999999</v>
      </c>
      <c r="AK87" s="13">
        <f t="shared" si="81"/>
        <v>23.709826086956518</v>
      </c>
      <c r="AM87" s="13">
        <f t="shared" si="82"/>
        <v>80.330649885583512</v>
      </c>
      <c r="AO87" s="34">
        <f t="shared" si="83"/>
        <v>0</v>
      </c>
      <c r="AQ87" s="11">
        <f>Z87</f>
        <v>4370</v>
      </c>
      <c r="AS87" s="12">
        <f>AB87</f>
        <v>55010</v>
      </c>
      <c r="AT87" s="12">
        <f>AC87</f>
        <v>192423</v>
      </c>
      <c r="AU87" s="12">
        <f>AD87</f>
        <v>247433</v>
      </c>
      <c r="AV87" s="53">
        <f>AU87/AQ87</f>
        <v>56.620823798627001</v>
      </c>
      <c r="AX87" s="12">
        <f>AG87</f>
        <v>373</v>
      </c>
      <c r="AY87" s="11" t="str">
        <f>AH87</f>
        <v>GJ</v>
      </c>
      <c r="AZ87" s="62">
        <f>AI87</f>
        <v>8.5354691075514869E-2</v>
      </c>
      <c r="BA87" s="12">
        <f>AJ87</f>
        <v>103611.93999999999</v>
      </c>
      <c r="BB87" s="53">
        <f>AK87</f>
        <v>23.709826086956518</v>
      </c>
      <c r="BC87" s="53"/>
      <c r="BD87" s="53">
        <f t="shared" si="63"/>
        <v>80.330649885583512</v>
      </c>
      <c r="BF87" s="65" t="s">
        <v>51</v>
      </c>
      <c r="BG87" s="5"/>
      <c r="BH87" s="5"/>
      <c r="BI87" s="5"/>
      <c r="BK87" s="5">
        <v>88</v>
      </c>
    </row>
    <row r="88" spans="1:63" x14ac:dyDescent="0.2">
      <c r="A88" s="5">
        <v>82</v>
      </c>
      <c r="C88" s="1">
        <v>82</v>
      </c>
      <c r="D88" s="1">
        <v>82</v>
      </c>
      <c r="E88" s="8">
        <v>834</v>
      </c>
      <c r="F88" s="8">
        <v>1970</v>
      </c>
      <c r="G88" s="7" t="s">
        <v>70</v>
      </c>
      <c r="H88" s="2"/>
      <c r="I88" s="23">
        <v>834</v>
      </c>
      <c r="J88" s="23"/>
      <c r="K88" s="12">
        <v>4225</v>
      </c>
      <c r="L88" s="12">
        <v>11365</v>
      </c>
      <c r="M88" s="12">
        <f t="shared" si="70"/>
        <v>15590</v>
      </c>
      <c r="N88" s="13">
        <f t="shared" si="71"/>
        <v>18.693045563549159</v>
      </c>
      <c r="P88" s="12">
        <v>11664</v>
      </c>
      <c r="Q88" s="11" t="s">
        <v>8</v>
      </c>
      <c r="R88" s="13">
        <f t="shared" si="72"/>
        <v>13.985611510791367</v>
      </c>
      <c r="S88" s="12">
        <f>P88*9.769</f>
        <v>113945.61599999999</v>
      </c>
      <c r="T88" s="13">
        <f t="shared" si="74"/>
        <v>136.62543884892085</v>
      </c>
      <c r="V88" s="13">
        <f t="shared" si="75"/>
        <v>155.31848441247001</v>
      </c>
      <c r="X88" s="34">
        <f t="shared" si="76"/>
        <v>-2.4213317517245626E-2</v>
      </c>
      <c r="Z88" s="11">
        <v>834</v>
      </c>
      <c r="AB88" s="12">
        <v>4639</v>
      </c>
      <c r="AC88" s="12">
        <v>11909</v>
      </c>
      <c r="AD88" s="12">
        <f t="shared" si="78"/>
        <v>16548</v>
      </c>
      <c r="AE88" s="13">
        <f t="shared" si="79"/>
        <v>19.841726618705035</v>
      </c>
      <c r="AG88" s="12">
        <v>11887</v>
      </c>
      <c r="AH88" s="11" t="s">
        <v>8</v>
      </c>
      <c r="AI88" s="13">
        <f t="shared" si="80"/>
        <v>14.252997601918466</v>
      </c>
      <c r="AJ88" s="12">
        <f>AG88*9.769</f>
        <v>116124.103</v>
      </c>
      <c r="AK88" s="13">
        <f t="shared" si="81"/>
        <v>139.23753357314149</v>
      </c>
      <c r="AM88" s="13">
        <f t="shared" si="82"/>
        <v>159.07926019184652</v>
      </c>
      <c r="AO88" s="34">
        <f t="shared" si="83"/>
        <v>1</v>
      </c>
      <c r="AQ88" s="56"/>
      <c r="AR88" s="56"/>
      <c r="AS88" s="51"/>
      <c r="AT88" s="51"/>
      <c r="AU88" s="51"/>
      <c r="AV88" s="57"/>
      <c r="AW88" s="56"/>
      <c r="AX88" s="51"/>
      <c r="AY88" s="56"/>
      <c r="AZ88" s="57"/>
      <c r="BA88" s="51"/>
      <c r="BB88" s="57"/>
      <c r="BC88" s="57"/>
      <c r="BD88" s="57">
        <f t="shared" si="63"/>
        <v>0</v>
      </c>
      <c r="BF88" s="65" t="s">
        <v>77</v>
      </c>
      <c r="BG88" s="5"/>
      <c r="BH88" s="5"/>
      <c r="BI88" s="5"/>
      <c r="BK88" s="5">
        <v>89</v>
      </c>
    </row>
    <row r="89" spans="1:63" x14ac:dyDescent="0.2">
      <c r="A89" s="5">
        <v>83</v>
      </c>
      <c r="C89" s="2">
        <v>83</v>
      </c>
      <c r="D89" s="2">
        <v>83</v>
      </c>
      <c r="E89" s="8">
        <v>1348</v>
      </c>
      <c r="F89" s="8">
        <v>1984</v>
      </c>
      <c r="G89" s="7" t="s">
        <v>70</v>
      </c>
      <c r="H89" s="2"/>
      <c r="I89" s="23">
        <v>1348</v>
      </c>
      <c r="J89" s="23"/>
      <c r="K89" s="12">
        <v>16868</v>
      </c>
      <c r="L89" s="12">
        <v>25124</v>
      </c>
      <c r="M89" s="12">
        <f t="shared" si="70"/>
        <v>41992</v>
      </c>
      <c r="N89" s="13">
        <f t="shared" si="71"/>
        <v>31.151335311572701</v>
      </c>
      <c r="P89" s="12">
        <v>322.45999999999998</v>
      </c>
      <c r="Q89" s="11" t="s">
        <v>17</v>
      </c>
      <c r="R89" s="24">
        <f t="shared" si="72"/>
        <v>0.23921364985163204</v>
      </c>
      <c r="S89" s="12">
        <f>P89*277.78</f>
        <v>89572.938799999989</v>
      </c>
      <c r="T89" s="13">
        <f t="shared" si="74"/>
        <v>66.448767655786341</v>
      </c>
      <c r="V89" s="13">
        <f t="shared" si="75"/>
        <v>97.600102967359049</v>
      </c>
      <c r="X89" s="34">
        <f t="shared" si="76"/>
        <v>0.15410183735060573</v>
      </c>
      <c r="Z89" s="11">
        <v>1348</v>
      </c>
      <c r="AB89" s="12">
        <v>10904</v>
      </c>
      <c r="AC89" s="12">
        <v>18997</v>
      </c>
      <c r="AD89" s="12">
        <f t="shared" si="78"/>
        <v>29901</v>
      </c>
      <c r="AE89" s="13">
        <f t="shared" si="79"/>
        <v>22.181750741839764</v>
      </c>
      <c r="AG89" s="12">
        <v>293</v>
      </c>
      <c r="AH89" s="11" t="s">
        <v>17</v>
      </c>
      <c r="AI89" s="24">
        <f t="shared" si="80"/>
        <v>0.21735905044510387</v>
      </c>
      <c r="AJ89" s="12">
        <f>AG89*277.78</f>
        <v>81389.539999999994</v>
      </c>
      <c r="AK89" s="13">
        <f t="shared" si="81"/>
        <v>60.377997032640948</v>
      </c>
      <c r="AM89" s="13">
        <f t="shared" si="82"/>
        <v>82.559747774480712</v>
      </c>
      <c r="AO89" s="34">
        <f t="shared" si="83"/>
        <v>0</v>
      </c>
      <c r="AQ89" s="11">
        <f>Z89</f>
        <v>1348</v>
      </c>
      <c r="AS89" s="12">
        <f>AB89</f>
        <v>10904</v>
      </c>
      <c r="AT89" s="12">
        <f>AC89</f>
        <v>18997</v>
      </c>
      <c r="AU89" s="12">
        <f>AD89</f>
        <v>29901</v>
      </c>
      <c r="AV89" s="53">
        <f>AU89/AQ89</f>
        <v>22.181750741839764</v>
      </c>
      <c r="AX89" s="12">
        <f>AG89</f>
        <v>293</v>
      </c>
      <c r="AY89" s="11" t="str">
        <f>AH89</f>
        <v>GJ</v>
      </c>
      <c r="AZ89" s="62">
        <f>AI89</f>
        <v>0.21735905044510387</v>
      </c>
      <c r="BA89" s="12">
        <f>AJ89</f>
        <v>81389.539999999994</v>
      </c>
      <c r="BB89" s="53">
        <f>AK89</f>
        <v>60.377997032640948</v>
      </c>
      <c r="BC89" s="53"/>
      <c r="BD89" s="53">
        <f t="shared" si="63"/>
        <v>82.559747774480712</v>
      </c>
      <c r="BG89" s="5"/>
      <c r="BH89" s="5"/>
      <c r="BI89" s="5"/>
      <c r="BK89" s="5">
        <v>90</v>
      </c>
    </row>
    <row r="90" spans="1:63" x14ac:dyDescent="0.2">
      <c r="A90" s="5">
        <v>84</v>
      </c>
      <c r="C90" s="2">
        <v>84</v>
      </c>
      <c r="D90" s="2">
        <v>84</v>
      </c>
      <c r="E90" s="8">
        <v>2286</v>
      </c>
      <c r="F90" s="8">
        <v>1980</v>
      </c>
      <c r="G90" s="7" t="s">
        <v>70</v>
      </c>
      <c r="H90" s="2"/>
      <c r="I90" s="23">
        <v>2286</v>
      </c>
      <c r="J90" s="23"/>
      <c r="K90" s="12">
        <v>13963</v>
      </c>
      <c r="L90" s="12">
        <v>45769</v>
      </c>
      <c r="M90" s="12">
        <f t="shared" si="70"/>
        <v>59732</v>
      </c>
      <c r="N90" s="13">
        <f t="shared" si="71"/>
        <v>26.129483814523184</v>
      </c>
      <c r="P90" s="12">
        <v>21889</v>
      </c>
      <c r="Q90" s="11" t="s">
        <v>8</v>
      </c>
      <c r="R90" s="13">
        <f t="shared" si="72"/>
        <v>9.575240594925635</v>
      </c>
      <c r="S90" s="12">
        <f>P90*9.769</f>
        <v>213833.641</v>
      </c>
      <c r="T90" s="13">
        <f t="shared" si="74"/>
        <v>93.540525371828522</v>
      </c>
      <c r="V90" s="13">
        <f t="shared" si="75"/>
        <v>119.67000918635171</v>
      </c>
      <c r="X90" s="34">
        <f t="shared" si="76"/>
        <v>4.831464196923764E-2</v>
      </c>
      <c r="Z90" s="11">
        <v>2286</v>
      </c>
      <c r="AB90" s="12">
        <v>13882</v>
      </c>
      <c r="AC90" s="12">
        <v>45860</v>
      </c>
      <c r="AD90" s="12">
        <f t="shared" si="78"/>
        <v>59742</v>
      </c>
      <c r="AE90" s="13">
        <f t="shared" si="79"/>
        <v>26.133858267716537</v>
      </c>
      <c r="AG90" s="12">
        <v>20535</v>
      </c>
      <c r="AH90" s="11" t="s">
        <v>8</v>
      </c>
      <c r="AI90" s="13">
        <f t="shared" si="80"/>
        <v>8.9829396325459321</v>
      </c>
      <c r="AJ90" s="12">
        <f>AG90*9.769</f>
        <v>200606.41500000001</v>
      </c>
      <c r="AK90" s="13">
        <f t="shared" si="81"/>
        <v>87.75433727034121</v>
      </c>
      <c r="AM90" s="13">
        <f t="shared" si="82"/>
        <v>113.88819553805774</v>
      </c>
      <c r="AO90" s="34">
        <f t="shared" si="83"/>
        <v>0.73658376218652988</v>
      </c>
      <c r="AQ90" s="36">
        <f>Z90</f>
        <v>2286</v>
      </c>
      <c r="AR90" s="36"/>
      <c r="AS90" s="35"/>
      <c r="AT90" s="35"/>
      <c r="AU90" s="35">
        <f>AQ90*AV90</f>
        <v>68580</v>
      </c>
      <c r="AV90" s="37">
        <v>30</v>
      </c>
      <c r="AW90" s="36"/>
      <c r="AX90" s="36"/>
      <c r="AY90" s="36" t="s">
        <v>72</v>
      </c>
      <c r="AZ90" s="36"/>
      <c r="BA90" s="36"/>
      <c r="BB90" s="36"/>
      <c r="BC90" s="36"/>
      <c r="BD90" s="37">
        <f t="shared" si="63"/>
        <v>30</v>
      </c>
      <c r="BF90" s="65" t="s">
        <v>33</v>
      </c>
      <c r="BG90" s="5"/>
      <c r="BH90" s="5"/>
      <c r="BI90" s="5"/>
      <c r="BK90" s="5">
        <v>91</v>
      </c>
    </row>
    <row r="91" spans="1:63" x14ac:dyDescent="0.2">
      <c r="A91" s="5">
        <v>85</v>
      </c>
      <c r="C91" s="1">
        <v>85</v>
      </c>
      <c r="D91" s="1">
        <v>85</v>
      </c>
      <c r="E91" s="8">
        <v>1243</v>
      </c>
      <c r="F91" s="8">
        <v>1945</v>
      </c>
      <c r="G91" s="7" t="s">
        <v>70</v>
      </c>
      <c r="H91" s="2"/>
      <c r="I91" s="23">
        <v>1243</v>
      </c>
      <c r="J91" s="23"/>
      <c r="K91" s="12">
        <v>11688</v>
      </c>
      <c r="L91" s="12">
        <v>24679</v>
      </c>
      <c r="M91" s="12">
        <f t="shared" ref="M91:M96" si="90">K91+L91</f>
        <v>36367</v>
      </c>
      <c r="N91" s="13">
        <f t="shared" ref="N91:N96" si="91">M91/I91</f>
        <v>29.257441673370877</v>
      </c>
      <c r="P91" s="12">
        <f>15807</f>
        <v>15807</v>
      </c>
      <c r="Q91" s="11" t="s">
        <v>8</v>
      </c>
      <c r="R91" s="13">
        <f t="shared" ref="R91:R96" si="92">P91/I91</f>
        <v>12.716814159292035</v>
      </c>
      <c r="S91" s="12">
        <f t="shared" ref="S91:S96" si="93">P91*9.769</f>
        <v>154418.58300000001</v>
      </c>
      <c r="T91" s="13">
        <f t="shared" ref="T91:T96" si="94">S91/I91</f>
        <v>124.2305575221239</v>
      </c>
      <c r="V91" s="13">
        <f t="shared" ref="V91:V96" si="95">N91+T91</f>
        <v>153.48799919549478</v>
      </c>
      <c r="X91" s="34">
        <f t="shared" ref="X91:X96" si="96">(V91-AM91)/V91</f>
        <v>0.25440330572567427</v>
      </c>
      <c r="Z91" s="11">
        <v>1243</v>
      </c>
      <c r="AB91" s="12">
        <v>8431</v>
      </c>
      <c r="AC91" s="12">
        <v>17567</v>
      </c>
      <c r="AD91" s="12">
        <f t="shared" ref="AD91:AD96" si="97">AB91+AC91</f>
        <v>25998</v>
      </c>
      <c r="AE91" s="13">
        <f t="shared" ref="AE91:AE96" si="98">AD91/Z91</f>
        <v>20.91552695092518</v>
      </c>
      <c r="AG91" s="12">
        <f>9213+2687</f>
        <v>11900</v>
      </c>
      <c r="AH91" s="11" t="s">
        <v>8</v>
      </c>
      <c r="AI91" s="13">
        <f t="shared" ref="AI91:AI96" si="99">AG91/Z91</f>
        <v>9.5736122284794849</v>
      </c>
      <c r="AJ91" s="12">
        <f t="shared" ref="AJ91:AJ96" si="100">AG91*9.769</f>
        <v>116251.1</v>
      </c>
      <c r="AK91" s="13">
        <f t="shared" ref="AK91:AK96" si="101">AJ91/Z91</f>
        <v>93.524617860016093</v>
      </c>
      <c r="AM91" s="13">
        <f t="shared" ref="AM91:AM96" si="102">AE91+AK91</f>
        <v>114.44014481094128</v>
      </c>
      <c r="AO91" s="34">
        <f t="shared" ref="AO91:AO96" si="103">(AM91-BD91)/AM91</f>
        <v>9.1647191440930018E-2</v>
      </c>
      <c r="AQ91" s="11">
        <f>Z91</f>
        <v>1243</v>
      </c>
      <c r="AS91" s="12">
        <f t="shared" ref="AS91:AT92" si="104">AB91</f>
        <v>8431</v>
      </c>
      <c r="AT91" s="12">
        <f t="shared" si="104"/>
        <v>17567</v>
      </c>
      <c r="AU91" s="12">
        <f>AD91</f>
        <v>25998</v>
      </c>
      <c r="AV91" s="53">
        <f>AU91/AQ91</f>
        <v>20.91552695092518</v>
      </c>
      <c r="AX91" s="12">
        <f>AQ91*AZ91</f>
        <v>10565.5</v>
      </c>
      <c r="AY91" s="11" t="s">
        <v>8</v>
      </c>
      <c r="AZ91" s="59">
        <v>8.5</v>
      </c>
      <c r="BA91" s="12">
        <f>AX91*9.769</f>
        <v>103214.3695</v>
      </c>
      <c r="BB91" s="13">
        <f>BA91/AQ91</f>
        <v>83.036500000000004</v>
      </c>
      <c r="BC91" s="53"/>
      <c r="BD91" s="53">
        <f t="shared" ref="BD91:BD99" si="105">AV91+BB91</f>
        <v>103.95202695092519</v>
      </c>
      <c r="BG91" s="10">
        <v>2029</v>
      </c>
      <c r="BH91" s="10">
        <v>2029</v>
      </c>
      <c r="BI91" s="10">
        <v>2029</v>
      </c>
      <c r="BK91" s="5">
        <v>94</v>
      </c>
    </row>
    <row r="92" spans="1:63" x14ac:dyDescent="0.2">
      <c r="A92" s="5">
        <v>86</v>
      </c>
      <c r="C92" s="2">
        <v>86</v>
      </c>
      <c r="D92" s="2">
        <v>86</v>
      </c>
      <c r="E92" s="8">
        <v>1760</v>
      </c>
      <c r="F92" s="8">
        <v>1987</v>
      </c>
      <c r="G92" s="7" t="s">
        <v>70</v>
      </c>
      <c r="H92" s="2"/>
      <c r="I92" s="23">
        <v>1760</v>
      </c>
      <c r="J92" s="23"/>
      <c r="K92" s="12">
        <v>8629</v>
      </c>
      <c r="L92" s="12">
        <v>34122</v>
      </c>
      <c r="M92" s="12">
        <f t="shared" si="90"/>
        <v>42751</v>
      </c>
      <c r="N92" s="13">
        <f t="shared" si="91"/>
        <v>24.290340909090908</v>
      </c>
      <c r="P92" s="12">
        <f>8130+14184</f>
        <v>22314</v>
      </c>
      <c r="Q92" s="11" t="s">
        <v>8</v>
      </c>
      <c r="R92" s="13">
        <f t="shared" si="92"/>
        <v>12.67840909090909</v>
      </c>
      <c r="S92" s="12">
        <f t="shared" si="93"/>
        <v>217985.46600000001</v>
      </c>
      <c r="T92" s="13">
        <f t="shared" si="94"/>
        <v>123.85537840909092</v>
      </c>
      <c r="V92" s="13">
        <f t="shared" si="95"/>
        <v>148.14571931818182</v>
      </c>
      <c r="X92" s="34">
        <f t="shared" si="96"/>
        <v>0.29825366659683117</v>
      </c>
      <c r="Z92" s="11">
        <v>1760</v>
      </c>
      <c r="AB92" s="12">
        <v>7607</v>
      </c>
      <c r="AC92" s="12">
        <v>32629</v>
      </c>
      <c r="AD92" s="12">
        <f t="shared" si="97"/>
        <v>40236</v>
      </c>
      <c r="AE92" s="13">
        <f t="shared" si="98"/>
        <v>22.861363636363638</v>
      </c>
      <c r="AG92" s="12">
        <v>14611</v>
      </c>
      <c r="AH92" s="11" t="s">
        <v>8</v>
      </c>
      <c r="AI92" s="13">
        <f t="shared" si="99"/>
        <v>8.3017045454545446</v>
      </c>
      <c r="AJ92" s="12">
        <f t="shared" si="100"/>
        <v>142734.859</v>
      </c>
      <c r="AK92" s="13">
        <f t="shared" si="101"/>
        <v>81.099351704545455</v>
      </c>
      <c r="AM92" s="13">
        <f t="shared" si="102"/>
        <v>103.96071534090909</v>
      </c>
      <c r="AO92" s="34">
        <f t="shared" si="103"/>
        <v>0</v>
      </c>
      <c r="AQ92" s="11">
        <f>Z92</f>
        <v>1760</v>
      </c>
      <c r="AS92" s="12">
        <f t="shared" si="104"/>
        <v>7607</v>
      </c>
      <c r="AT92" s="12">
        <f t="shared" si="104"/>
        <v>32629</v>
      </c>
      <c r="AU92" s="12">
        <f>AD92</f>
        <v>40236</v>
      </c>
      <c r="AV92" s="53">
        <f>AU92/AQ92</f>
        <v>22.861363636363638</v>
      </c>
      <c r="AX92" s="12">
        <f>AQ92*AZ92</f>
        <v>14610.999999999998</v>
      </c>
      <c r="AY92" s="11" t="str">
        <f>AH92</f>
        <v>m3</v>
      </c>
      <c r="AZ92" s="53">
        <f>AI92</f>
        <v>8.3017045454545446</v>
      </c>
      <c r="BA92" s="12">
        <f>AX92*9.769</f>
        <v>142734.859</v>
      </c>
      <c r="BB92" s="13">
        <f>BA92/AQ92</f>
        <v>81.099351704545455</v>
      </c>
      <c r="BC92" s="53"/>
      <c r="BD92" s="53">
        <f t="shared" si="105"/>
        <v>103.96071534090909</v>
      </c>
      <c r="BH92" s="60" t="s">
        <v>68</v>
      </c>
      <c r="BI92" s="60" t="s">
        <v>9</v>
      </c>
      <c r="BK92" s="5">
        <v>95</v>
      </c>
    </row>
    <row r="93" spans="1:63" x14ac:dyDescent="0.2">
      <c r="A93" s="5">
        <v>87</v>
      </c>
      <c r="C93" s="2">
        <v>87</v>
      </c>
      <c r="D93" s="2">
        <v>87</v>
      </c>
      <c r="E93" s="8">
        <v>1676</v>
      </c>
      <c r="F93" s="8">
        <v>1966</v>
      </c>
      <c r="G93" s="7" t="s">
        <v>70</v>
      </c>
      <c r="H93" s="2"/>
      <c r="I93" s="23">
        <v>1676</v>
      </c>
      <c r="J93" s="23"/>
      <c r="K93" s="12">
        <v>10646</v>
      </c>
      <c r="L93" s="12">
        <v>32363</v>
      </c>
      <c r="M93" s="12">
        <f t="shared" si="90"/>
        <v>43009</v>
      </c>
      <c r="N93" s="13">
        <f t="shared" si="91"/>
        <v>25.661694510739856</v>
      </c>
      <c r="P93" s="12">
        <v>27021</v>
      </c>
      <c r="Q93" s="11" t="s">
        <v>8</v>
      </c>
      <c r="R93" s="13">
        <f t="shared" si="92"/>
        <v>16.122315035799524</v>
      </c>
      <c r="S93" s="12">
        <f t="shared" si="93"/>
        <v>263968.14899999998</v>
      </c>
      <c r="T93" s="13">
        <f t="shared" si="94"/>
        <v>157.49889558472552</v>
      </c>
      <c r="V93" s="13">
        <f t="shared" si="95"/>
        <v>183.16059009546538</v>
      </c>
      <c r="X93" s="34">
        <f t="shared" si="96"/>
        <v>-1.8003050122796019E-2</v>
      </c>
      <c r="Z93" s="11">
        <v>1676</v>
      </c>
      <c r="AB93" s="12">
        <v>9928</v>
      </c>
      <c r="AC93" s="12">
        <v>31525</v>
      </c>
      <c r="AD93" s="12">
        <f t="shared" si="97"/>
        <v>41453</v>
      </c>
      <c r="AE93" s="13">
        <f t="shared" si="98"/>
        <v>24.733293556085918</v>
      </c>
      <c r="AG93" s="12">
        <v>27746</v>
      </c>
      <c r="AH93" s="11" t="s">
        <v>8</v>
      </c>
      <c r="AI93" s="13">
        <f t="shared" si="99"/>
        <v>16.55489260143198</v>
      </c>
      <c r="AJ93" s="12">
        <f t="shared" si="100"/>
        <v>271050.674</v>
      </c>
      <c r="AK93" s="13">
        <f t="shared" si="101"/>
        <v>161.72474582338901</v>
      </c>
      <c r="AM93" s="13">
        <f t="shared" si="102"/>
        <v>186.45803937947494</v>
      </c>
      <c r="AO93" s="34">
        <f t="shared" si="103"/>
        <v>0.8391058915998536</v>
      </c>
      <c r="AQ93" s="36">
        <f>Z93</f>
        <v>1676</v>
      </c>
      <c r="AR93" s="36"/>
      <c r="AS93" s="35"/>
      <c r="AT93" s="35"/>
      <c r="AU93" s="35">
        <f>AQ93*AV93</f>
        <v>50280</v>
      </c>
      <c r="AV93" s="59">
        <v>30</v>
      </c>
      <c r="AW93" s="36"/>
      <c r="AX93" s="35"/>
      <c r="AY93" s="36" t="s">
        <v>72</v>
      </c>
      <c r="AZ93" s="59"/>
      <c r="BA93" s="35"/>
      <c r="BB93" s="59"/>
      <c r="BC93" s="59"/>
      <c r="BD93" s="37">
        <f t="shared" si="105"/>
        <v>30</v>
      </c>
      <c r="BF93" s="65" t="s">
        <v>33</v>
      </c>
      <c r="BK93" s="5">
        <v>96</v>
      </c>
    </row>
    <row r="94" spans="1:63" x14ac:dyDescent="0.2">
      <c r="A94" s="5">
        <v>88</v>
      </c>
      <c r="C94" s="1">
        <v>88</v>
      </c>
      <c r="D94" s="1">
        <v>88</v>
      </c>
      <c r="E94" s="8">
        <v>1880</v>
      </c>
      <c r="F94" s="8">
        <v>1986</v>
      </c>
      <c r="G94" s="7" t="s">
        <v>70</v>
      </c>
      <c r="H94" s="2"/>
      <c r="I94" s="23">
        <v>1880</v>
      </c>
      <c r="J94" s="23"/>
      <c r="K94" s="12">
        <v>23485</v>
      </c>
      <c r="L94" s="12">
        <v>56563</v>
      </c>
      <c r="M94" s="12">
        <f t="shared" si="90"/>
        <v>80048</v>
      </c>
      <c r="N94" s="13">
        <f t="shared" si="91"/>
        <v>42.578723404255321</v>
      </c>
      <c r="P94" s="12">
        <v>20731</v>
      </c>
      <c r="Q94" s="11" t="s">
        <v>8</v>
      </c>
      <c r="R94" s="13">
        <f t="shared" si="92"/>
        <v>11.027127659574468</v>
      </c>
      <c r="S94" s="12">
        <f t="shared" si="93"/>
        <v>202521.139</v>
      </c>
      <c r="T94" s="13">
        <f t="shared" si="94"/>
        <v>107.72401010638298</v>
      </c>
      <c r="V94" s="13">
        <f t="shared" si="95"/>
        <v>150.30273351063829</v>
      </c>
      <c r="X94" s="34">
        <f t="shared" si="96"/>
        <v>-9.5207367992157343E-2</v>
      </c>
      <c r="Z94" s="11">
        <v>1880</v>
      </c>
      <c r="AB94" s="12">
        <v>29094</v>
      </c>
      <c r="AC94" s="12">
        <v>63633</v>
      </c>
      <c r="AD94" s="12">
        <f t="shared" si="97"/>
        <v>92727</v>
      </c>
      <c r="AE94" s="13">
        <f t="shared" si="98"/>
        <v>49.322872340425533</v>
      </c>
      <c r="AG94" s="12">
        <v>22187</v>
      </c>
      <c r="AH94" s="11" t="s">
        <v>8</v>
      </c>
      <c r="AI94" s="13">
        <f t="shared" si="99"/>
        <v>11.801595744680851</v>
      </c>
      <c r="AJ94" s="12">
        <f t="shared" si="100"/>
        <v>216744.80300000001</v>
      </c>
      <c r="AK94" s="13">
        <f t="shared" si="101"/>
        <v>115.28978882978724</v>
      </c>
      <c r="AM94" s="13">
        <f t="shared" si="102"/>
        <v>164.61266117021279</v>
      </c>
      <c r="AO94" s="34">
        <f t="shared" si="103"/>
        <v>0.29723607161716131</v>
      </c>
      <c r="AQ94" s="11">
        <f>Z94</f>
        <v>1880</v>
      </c>
      <c r="AS94" s="12">
        <f t="shared" ref="AS94:AT96" si="106">AB94</f>
        <v>29094</v>
      </c>
      <c r="AT94" s="12">
        <f t="shared" si="106"/>
        <v>63633</v>
      </c>
      <c r="AU94" s="35">
        <f>AD94-(0.95*100000*0.33)</f>
        <v>61377</v>
      </c>
      <c r="AV94" s="59">
        <f>AU94/AQ94</f>
        <v>32.647340425531915</v>
      </c>
      <c r="AX94" s="12">
        <f>AQ94*AZ94</f>
        <v>15980</v>
      </c>
      <c r="AY94" s="11" t="str">
        <f>AH94</f>
        <v>m3</v>
      </c>
      <c r="AZ94" s="59">
        <v>8.5</v>
      </c>
      <c r="BA94" s="12">
        <f>AX94*9.769</f>
        <v>156108.62</v>
      </c>
      <c r="BB94" s="13">
        <f>BA94/AQ94</f>
        <v>83.036500000000004</v>
      </c>
      <c r="BC94" s="53"/>
      <c r="BD94" s="53">
        <f t="shared" si="105"/>
        <v>115.68384042553191</v>
      </c>
      <c r="BF94" s="65" t="s">
        <v>58</v>
      </c>
      <c r="BG94" s="10">
        <v>2029</v>
      </c>
      <c r="BH94" s="10">
        <v>2029</v>
      </c>
      <c r="BI94" s="10">
        <v>2029</v>
      </c>
      <c r="BK94" s="5">
        <v>97</v>
      </c>
    </row>
    <row r="95" spans="1:63" x14ac:dyDescent="0.2">
      <c r="A95" s="5">
        <v>89</v>
      </c>
      <c r="C95" s="2">
        <v>89</v>
      </c>
      <c r="D95" s="2">
        <v>89</v>
      </c>
      <c r="E95" s="8">
        <v>1711</v>
      </c>
      <c r="F95" s="8">
        <v>1927</v>
      </c>
      <c r="G95" s="7" t="s">
        <v>70</v>
      </c>
      <c r="H95" s="2"/>
      <c r="I95" s="23">
        <v>1711</v>
      </c>
      <c r="J95" s="23"/>
      <c r="K95" s="12">
        <v>1545</v>
      </c>
      <c r="L95" s="12">
        <f>27121+1748</f>
        <v>28869</v>
      </c>
      <c r="M95" s="12">
        <f t="shared" si="90"/>
        <v>30414</v>
      </c>
      <c r="N95" s="13">
        <f t="shared" si="91"/>
        <v>17.775569842197545</v>
      </c>
      <c r="P95" s="29">
        <f>7851+19591</f>
        <v>27442</v>
      </c>
      <c r="Q95" s="11" t="s">
        <v>8</v>
      </c>
      <c r="R95" s="13">
        <f t="shared" si="92"/>
        <v>16.038573933372298</v>
      </c>
      <c r="S95" s="12">
        <f t="shared" si="93"/>
        <v>268080.89799999999</v>
      </c>
      <c r="T95" s="13">
        <f t="shared" si="94"/>
        <v>156.68082875511396</v>
      </c>
      <c r="V95" s="13">
        <f t="shared" si="95"/>
        <v>174.45639859731151</v>
      </c>
      <c r="X95" s="34">
        <f t="shared" si="96"/>
        <v>0.21777248809838301</v>
      </c>
      <c r="Z95" s="11">
        <v>1744</v>
      </c>
      <c r="AB95" s="12">
        <v>1588</v>
      </c>
      <c r="AC95" s="12">
        <f>1821+27121</f>
        <v>28942</v>
      </c>
      <c r="AD95" s="12">
        <f t="shared" si="97"/>
        <v>30530</v>
      </c>
      <c r="AE95" s="13">
        <f t="shared" si="98"/>
        <v>17.505733944954127</v>
      </c>
      <c r="AG95" s="12">
        <v>21237</v>
      </c>
      <c r="AH95" s="11" t="s">
        <v>8</v>
      </c>
      <c r="AI95" s="13">
        <f t="shared" si="99"/>
        <v>12.177178899082568</v>
      </c>
      <c r="AJ95" s="12">
        <f t="shared" si="100"/>
        <v>207464.253</v>
      </c>
      <c r="AK95" s="13">
        <f t="shared" si="101"/>
        <v>118.95886066513761</v>
      </c>
      <c r="AM95" s="13">
        <f t="shared" si="102"/>
        <v>136.46459461009172</v>
      </c>
      <c r="AO95" s="34">
        <f t="shared" si="103"/>
        <v>0.26076161556334665</v>
      </c>
      <c r="AQ95" s="11">
        <v>1711</v>
      </c>
      <c r="AS95" s="12">
        <f t="shared" si="106"/>
        <v>1588</v>
      </c>
      <c r="AT95" s="12">
        <f t="shared" si="106"/>
        <v>28942</v>
      </c>
      <c r="AU95" s="12">
        <f>AD95</f>
        <v>30530</v>
      </c>
      <c r="AV95" s="53">
        <f>AU95/AQ95</f>
        <v>17.843366452367036</v>
      </c>
      <c r="AX95" s="12">
        <f>AQ95*AZ95</f>
        <v>14543.5</v>
      </c>
      <c r="AY95" s="36" t="str">
        <f>AH95</f>
        <v>m3</v>
      </c>
      <c r="AZ95" s="74">
        <v>8.5</v>
      </c>
      <c r="BA95" s="35">
        <f>AX95*9.769</f>
        <v>142075.4515</v>
      </c>
      <c r="BB95" s="37">
        <f>BA95/AQ95</f>
        <v>83.036500000000004</v>
      </c>
      <c r="BC95" s="59"/>
      <c r="BD95" s="37">
        <f t="shared" si="105"/>
        <v>100.87986645236704</v>
      </c>
      <c r="BF95" s="65" t="s">
        <v>32</v>
      </c>
      <c r="BG95" s="52">
        <v>2019</v>
      </c>
      <c r="BH95" s="52">
        <v>2019</v>
      </c>
      <c r="BI95" s="52">
        <v>2019</v>
      </c>
      <c r="BK95" s="5">
        <v>98</v>
      </c>
    </row>
    <row r="96" spans="1:63" x14ac:dyDescent="0.2">
      <c r="A96" s="5">
        <v>90</v>
      </c>
      <c r="C96" s="2">
        <v>90</v>
      </c>
      <c r="D96" s="2">
        <v>90</v>
      </c>
      <c r="E96" s="8">
        <v>1889</v>
      </c>
      <c r="F96" s="8">
        <v>1958</v>
      </c>
      <c r="G96" s="7" t="s">
        <v>70</v>
      </c>
      <c r="H96" s="2"/>
      <c r="I96" s="23">
        <v>1889</v>
      </c>
      <c r="J96" s="23"/>
      <c r="K96" s="12">
        <v>13012</v>
      </c>
      <c r="L96" s="12">
        <v>28471</v>
      </c>
      <c r="M96" s="12">
        <f t="shared" si="90"/>
        <v>41483</v>
      </c>
      <c r="N96" s="13">
        <f t="shared" si="91"/>
        <v>21.960296453149816</v>
      </c>
      <c r="P96" s="12">
        <v>20818</v>
      </c>
      <c r="Q96" s="11" t="s">
        <v>8</v>
      </c>
      <c r="R96" s="13">
        <f t="shared" si="92"/>
        <v>11.020645844362097</v>
      </c>
      <c r="S96" s="12">
        <f t="shared" si="93"/>
        <v>203371.04200000002</v>
      </c>
      <c r="T96" s="13">
        <f t="shared" si="94"/>
        <v>107.66068925357332</v>
      </c>
      <c r="V96" s="13">
        <f t="shared" si="95"/>
        <v>129.62098570672313</v>
      </c>
      <c r="X96" s="34">
        <f t="shared" si="96"/>
        <v>5.9525335505794953E-2</v>
      </c>
      <c r="Z96" s="11">
        <v>1889</v>
      </c>
      <c r="AB96" s="12">
        <v>11858</v>
      </c>
      <c r="AC96" s="12">
        <v>27271</v>
      </c>
      <c r="AD96" s="12">
        <f t="shared" si="97"/>
        <v>39129</v>
      </c>
      <c r="AE96" s="13">
        <f t="shared" si="98"/>
        <v>20.714134462678665</v>
      </c>
      <c r="AG96" s="12">
        <v>19567</v>
      </c>
      <c r="AH96" s="11" t="s">
        <v>8</v>
      </c>
      <c r="AI96" s="13">
        <f t="shared" si="99"/>
        <v>10.358390682901005</v>
      </c>
      <c r="AJ96" s="12">
        <f t="shared" si="100"/>
        <v>191150.02300000002</v>
      </c>
      <c r="AK96" s="13">
        <f t="shared" si="101"/>
        <v>101.19111858125993</v>
      </c>
      <c r="AM96" s="13">
        <f t="shared" si="102"/>
        <v>121.90525304393859</v>
      </c>
      <c r="AO96" s="34">
        <f t="shared" si="103"/>
        <v>0.14892400555303717</v>
      </c>
      <c r="AQ96" s="11">
        <f>Z96</f>
        <v>1889</v>
      </c>
      <c r="AS96" s="12">
        <f t="shared" si="106"/>
        <v>11858</v>
      </c>
      <c r="AT96" s="12">
        <f t="shared" si="106"/>
        <v>27271</v>
      </c>
      <c r="AU96" s="12">
        <f>AD96</f>
        <v>39129</v>
      </c>
      <c r="AV96" s="53">
        <f>AU96/AQ96</f>
        <v>20.714134462678665</v>
      </c>
      <c r="AX96" s="12">
        <f>AQ96*AZ96</f>
        <v>16056.5</v>
      </c>
      <c r="AY96" s="11" t="str">
        <f>AH96</f>
        <v>m3</v>
      </c>
      <c r="AZ96" s="59">
        <v>8.5</v>
      </c>
      <c r="BA96" s="12">
        <f>AX96*9.769</f>
        <v>156855.9485</v>
      </c>
      <c r="BB96" s="13">
        <f>BA96/AQ96</f>
        <v>83.036500000000004</v>
      </c>
      <c r="BC96" s="53"/>
      <c r="BD96" s="53">
        <f t="shared" si="105"/>
        <v>103.75063446267868</v>
      </c>
      <c r="BG96" s="10">
        <v>2029</v>
      </c>
      <c r="BH96" s="10">
        <v>2029</v>
      </c>
      <c r="BI96" s="10">
        <v>2029</v>
      </c>
      <c r="BK96" s="5">
        <v>99</v>
      </c>
    </row>
    <row r="97" spans="1:63" x14ac:dyDescent="0.2">
      <c r="A97" s="5">
        <v>91</v>
      </c>
      <c r="C97" s="1">
        <v>91</v>
      </c>
      <c r="D97" s="1">
        <v>91</v>
      </c>
      <c r="F97" s="8">
        <v>2009</v>
      </c>
      <c r="G97" s="7" t="s">
        <v>70</v>
      </c>
      <c r="H97" s="2"/>
      <c r="I97" s="30"/>
      <c r="J97" s="30"/>
      <c r="K97" s="29"/>
      <c r="L97" s="29"/>
      <c r="M97" s="29"/>
      <c r="N97" s="31"/>
      <c r="O97" s="32"/>
      <c r="P97" s="29"/>
      <c r="Q97" s="32"/>
      <c r="R97" s="31"/>
      <c r="S97" s="29"/>
      <c r="T97" s="31"/>
      <c r="U97" s="32"/>
      <c r="V97" s="31"/>
      <c r="X97" s="34"/>
      <c r="Z97" s="32"/>
      <c r="AA97" s="32"/>
      <c r="AB97" s="29"/>
      <c r="AC97" s="29"/>
      <c r="AD97" s="29"/>
      <c r="AE97" s="31"/>
      <c r="AF97" s="32"/>
      <c r="AG97" s="29"/>
      <c r="AH97" s="32"/>
      <c r="AI97" s="32"/>
      <c r="AJ97" s="32"/>
      <c r="AK97" s="32"/>
      <c r="AL97" s="32"/>
      <c r="AM97" s="32"/>
      <c r="AO97" s="34"/>
      <c r="AQ97" s="32"/>
      <c r="AR97" s="32"/>
      <c r="AS97" s="29"/>
      <c r="AT97" s="29"/>
      <c r="AU97" s="29"/>
      <c r="AV97" s="54"/>
      <c r="AW97" s="32"/>
      <c r="AX97" s="29"/>
      <c r="AY97" s="32"/>
      <c r="AZ97" s="54"/>
      <c r="BA97" s="29"/>
      <c r="BB97" s="54"/>
      <c r="BC97" s="54"/>
      <c r="BD97" s="54">
        <f t="shared" si="105"/>
        <v>0</v>
      </c>
      <c r="BF97" s="65" t="s">
        <v>51</v>
      </c>
      <c r="BG97" s="5"/>
      <c r="BH97" s="5"/>
      <c r="BI97" s="5"/>
      <c r="BK97" s="5">
        <v>100</v>
      </c>
    </row>
    <row r="98" spans="1:63" x14ac:dyDescent="0.2">
      <c r="A98" s="5">
        <v>92</v>
      </c>
      <c r="C98" s="2">
        <v>92</v>
      </c>
      <c r="D98" s="2">
        <v>92</v>
      </c>
      <c r="E98" s="8">
        <v>1558</v>
      </c>
      <c r="F98" s="8">
        <v>1994</v>
      </c>
      <c r="G98" s="7" t="s">
        <v>70</v>
      </c>
      <c r="H98" s="2"/>
      <c r="I98" s="23">
        <v>1558</v>
      </c>
      <c r="J98" s="23"/>
      <c r="K98" s="12">
        <v>19001</v>
      </c>
      <c r="L98" s="12">
        <v>30432</v>
      </c>
      <c r="M98" s="12">
        <f t="shared" ref="M98:M104" si="107">K98+L98</f>
        <v>49433</v>
      </c>
      <c r="N98" s="13">
        <f t="shared" ref="N98:N104" si="108">M98/I98</f>
        <v>31.728498074454428</v>
      </c>
      <c r="P98" s="12">
        <v>344.84</v>
      </c>
      <c r="Q98" s="11" t="s">
        <v>17</v>
      </c>
      <c r="R98" s="24">
        <f t="shared" ref="R98:R104" si="109">P98/I98</f>
        <v>0.22133504492939665</v>
      </c>
      <c r="S98" s="12">
        <f>P98*277.78</f>
        <v>95789.655199999979</v>
      </c>
      <c r="T98" s="13">
        <f t="shared" ref="T98:T104" si="110">S98/I98</f>
        <v>61.482448780487793</v>
      </c>
      <c r="V98" s="13">
        <f t="shared" ref="V98:V104" si="111">N98+T98</f>
        <v>93.210946854942222</v>
      </c>
      <c r="X98" s="34">
        <f t="shared" ref="X98:X104" si="112">(V98-AM98)/V98</f>
        <v>-7.4423820340670938E-2</v>
      </c>
      <c r="Z98" s="11">
        <v>1558</v>
      </c>
      <c r="AB98" s="12">
        <v>15126</v>
      </c>
      <c r="AC98" s="12">
        <v>28126</v>
      </c>
      <c r="AD98" s="12">
        <f t="shared" ref="AD98:AD104" si="113">AB98+AC98</f>
        <v>43252</v>
      </c>
      <c r="AE98" s="13">
        <f t="shared" ref="AE98:AE104" si="114">AD98/Z98</f>
        <v>27.761232349165596</v>
      </c>
      <c r="AG98" s="12">
        <v>406</v>
      </c>
      <c r="AH98" s="11" t="s">
        <v>17</v>
      </c>
      <c r="AI98" s="24">
        <f t="shared" ref="AI98:AI104" si="115">AG98/Z98</f>
        <v>0.26059050064184852</v>
      </c>
      <c r="AJ98" s="12">
        <f>AG98*277.78</f>
        <v>112778.68</v>
      </c>
      <c r="AK98" s="13">
        <f t="shared" ref="AK98:AK104" si="116">AJ98/Z98</f>
        <v>72.386829268292672</v>
      </c>
      <c r="AM98" s="13">
        <f t="shared" ref="AM98:AM104" si="117">AE98+AK98</f>
        <v>100.14806161745827</v>
      </c>
      <c r="AO98" s="34">
        <f t="shared" ref="AO98:AO104" si="118">(AM98-BD98)/AM98</f>
        <v>0</v>
      </c>
      <c r="AQ98" s="11">
        <f>Z98</f>
        <v>1558</v>
      </c>
      <c r="AS98" s="12">
        <f t="shared" ref="AS98:AU99" si="119">AB98</f>
        <v>15126</v>
      </c>
      <c r="AT98" s="12">
        <f t="shared" si="119"/>
        <v>28126</v>
      </c>
      <c r="AU98" s="12">
        <f t="shared" si="119"/>
        <v>43252</v>
      </c>
      <c r="AV98" s="53">
        <f>AU98/AQ98</f>
        <v>27.761232349165596</v>
      </c>
      <c r="AX98" s="12">
        <f t="shared" ref="AX98:BB99" si="120">AG98</f>
        <v>406</v>
      </c>
      <c r="AY98" s="11" t="str">
        <f t="shared" si="120"/>
        <v>GJ</v>
      </c>
      <c r="AZ98" s="62">
        <f t="shared" si="120"/>
        <v>0.26059050064184852</v>
      </c>
      <c r="BA98" s="12">
        <f t="shared" si="120"/>
        <v>112778.68</v>
      </c>
      <c r="BB98" s="53">
        <f t="shared" si="120"/>
        <v>72.386829268292672</v>
      </c>
      <c r="BC98" s="53"/>
      <c r="BD98" s="53">
        <f t="shared" si="105"/>
        <v>100.14806161745827</v>
      </c>
      <c r="BG98" s="5"/>
      <c r="BH98" s="5"/>
      <c r="BI98" s="5"/>
      <c r="BK98" s="5">
        <v>101</v>
      </c>
    </row>
    <row r="99" spans="1:63" x14ac:dyDescent="0.2">
      <c r="A99" s="5">
        <v>93</v>
      </c>
      <c r="C99" s="2">
        <v>93</v>
      </c>
      <c r="D99" s="2">
        <v>93</v>
      </c>
      <c r="E99" s="8">
        <v>2635</v>
      </c>
      <c r="F99" s="8">
        <v>2014</v>
      </c>
      <c r="G99" s="7" t="s">
        <v>70</v>
      </c>
      <c r="H99" s="2"/>
      <c r="I99" s="23">
        <v>2635</v>
      </c>
      <c r="J99" s="23"/>
      <c r="K99" s="12">
        <v>26661</v>
      </c>
      <c r="L99" s="12">
        <v>71735</v>
      </c>
      <c r="M99" s="12">
        <f t="shared" si="107"/>
        <v>98396</v>
      </c>
      <c r="N99" s="13">
        <f t="shared" si="108"/>
        <v>37.341935483870969</v>
      </c>
      <c r="P99" s="12">
        <v>320.49</v>
      </c>
      <c r="Q99" s="11" t="s">
        <v>17</v>
      </c>
      <c r="R99" s="24">
        <f t="shared" si="109"/>
        <v>0.12162808349146111</v>
      </c>
      <c r="S99" s="12">
        <f>P99*277.78</f>
        <v>89025.712199999994</v>
      </c>
      <c r="T99" s="13">
        <f t="shared" si="110"/>
        <v>33.785849032258064</v>
      </c>
      <c r="V99" s="13">
        <f t="shared" si="111"/>
        <v>71.127784516129026</v>
      </c>
      <c r="X99" s="34">
        <f t="shared" si="112"/>
        <v>-5.4377519447290662E-2</v>
      </c>
      <c r="Z99" s="11">
        <v>2635</v>
      </c>
      <c r="AB99" s="12">
        <v>25897</v>
      </c>
      <c r="AC99" s="12">
        <v>72271</v>
      </c>
      <c r="AD99" s="12">
        <f t="shared" si="113"/>
        <v>98168</v>
      </c>
      <c r="AE99" s="13">
        <f t="shared" si="114"/>
        <v>37.255407969639471</v>
      </c>
      <c r="AG99" s="12">
        <v>358</v>
      </c>
      <c r="AH99" s="11" t="s">
        <v>17</v>
      </c>
      <c r="AI99" s="24">
        <f t="shared" si="115"/>
        <v>0.13586337760910816</v>
      </c>
      <c r="AJ99" s="12">
        <f>AG99*277.78</f>
        <v>99445.239999999991</v>
      </c>
      <c r="AK99" s="13">
        <f t="shared" si="116"/>
        <v>37.740129032258061</v>
      </c>
      <c r="AM99" s="13">
        <f t="shared" si="117"/>
        <v>74.995537001897532</v>
      </c>
      <c r="AO99" s="34">
        <f t="shared" si="118"/>
        <v>0</v>
      </c>
      <c r="AQ99" s="11">
        <f>Z99</f>
        <v>2635</v>
      </c>
      <c r="AS99" s="12">
        <f t="shared" si="119"/>
        <v>25897</v>
      </c>
      <c r="AT99" s="12">
        <f t="shared" si="119"/>
        <v>72271</v>
      </c>
      <c r="AU99" s="12">
        <f t="shared" si="119"/>
        <v>98168</v>
      </c>
      <c r="AV99" s="53">
        <f>AU99/AQ99</f>
        <v>37.255407969639471</v>
      </c>
      <c r="AX99" s="12">
        <f t="shared" si="120"/>
        <v>358</v>
      </c>
      <c r="AY99" s="11" t="str">
        <f t="shared" si="120"/>
        <v>GJ</v>
      </c>
      <c r="AZ99" s="62">
        <f t="shared" si="120"/>
        <v>0.13586337760910816</v>
      </c>
      <c r="BA99" s="12">
        <f t="shared" si="120"/>
        <v>99445.239999999991</v>
      </c>
      <c r="BB99" s="53">
        <f t="shared" si="120"/>
        <v>37.740129032258061</v>
      </c>
      <c r="BC99" s="53"/>
      <c r="BD99" s="53">
        <f t="shared" si="105"/>
        <v>74.995537001897532</v>
      </c>
      <c r="BG99" s="5"/>
      <c r="BH99" s="5"/>
      <c r="BI99" s="5"/>
      <c r="BK99" s="5">
        <v>102</v>
      </c>
    </row>
    <row r="100" spans="1:63" x14ac:dyDescent="0.2">
      <c r="A100" s="5">
        <v>94</v>
      </c>
      <c r="C100" s="1">
        <v>94</v>
      </c>
      <c r="D100" s="1">
        <v>94</v>
      </c>
      <c r="E100" s="8">
        <v>1501</v>
      </c>
      <c r="F100" s="8">
        <v>1989</v>
      </c>
      <c r="G100" s="7" t="s">
        <v>70</v>
      </c>
      <c r="H100" s="2"/>
      <c r="I100" s="23">
        <v>1501</v>
      </c>
      <c r="J100" s="23"/>
      <c r="K100" s="12">
        <v>9206</v>
      </c>
      <c r="L100" s="12">
        <v>26992</v>
      </c>
      <c r="M100" s="12">
        <f t="shared" si="107"/>
        <v>36198</v>
      </c>
      <c r="N100" s="13">
        <f t="shared" si="108"/>
        <v>24.115922718187875</v>
      </c>
      <c r="P100" s="12">
        <f>3418+7639</f>
        <v>11057</v>
      </c>
      <c r="Q100" s="11" t="s">
        <v>8</v>
      </c>
      <c r="R100" s="13">
        <f t="shared" si="109"/>
        <v>7.366422385076616</v>
      </c>
      <c r="S100" s="12">
        <f>P100*9.769</f>
        <v>108015.833</v>
      </c>
      <c r="T100" s="13">
        <f t="shared" si="110"/>
        <v>71.962580279813452</v>
      </c>
      <c r="V100" s="13">
        <f t="shared" si="111"/>
        <v>96.078502998001326</v>
      </c>
      <c r="X100" s="34">
        <f t="shared" si="112"/>
        <v>5.6305278287693836E-3</v>
      </c>
      <c r="Z100" s="11">
        <v>1501</v>
      </c>
      <c r="AB100" s="12">
        <v>8715</v>
      </c>
      <c r="AC100" s="12">
        <v>26671</v>
      </c>
      <c r="AD100" s="12">
        <f t="shared" si="113"/>
        <v>35386</v>
      </c>
      <c r="AE100" s="13">
        <f t="shared" si="114"/>
        <v>23.574950033311126</v>
      </c>
      <c r="AG100" s="43">
        <v>11057</v>
      </c>
      <c r="AH100" s="11" t="s">
        <v>8</v>
      </c>
      <c r="AI100" s="13">
        <f t="shared" si="115"/>
        <v>7.366422385076616</v>
      </c>
      <c r="AJ100" s="12">
        <f>AG100*9.769</f>
        <v>108015.833</v>
      </c>
      <c r="AK100" s="13">
        <f t="shared" si="116"/>
        <v>71.962580279813452</v>
      </c>
      <c r="AM100" s="13">
        <f t="shared" si="117"/>
        <v>95.537530313124577</v>
      </c>
      <c r="AO100" s="34">
        <f t="shared" si="118"/>
        <v>1</v>
      </c>
      <c r="AQ100" s="56"/>
      <c r="AR100" s="56"/>
      <c r="AS100" s="51"/>
      <c r="AT100" s="51"/>
      <c r="AU100" s="51"/>
      <c r="AV100" s="57"/>
      <c r="AW100" s="56"/>
      <c r="AX100" s="51"/>
      <c r="AY100" s="56"/>
      <c r="AZ100" s="57"/>
      <c r="BA100" s="51"/>
      <c r="BB100" s="57"/>
      <c r="BC100" s="57"/>
      <c r="BD100" s="57"/>
      <c r="BF100" s="65" t="s">
        <v>53</v>
      </c>
      <c r="BG100" s="5"/>
      <c r="BH100" s="5"/>
      <c r="BI100" s="5"/>
      <c r="BK100" s="5">
        <v>103</v>
      </c>
    </row>
    <row r="101" spans="1:63" x14ac:dyDescent="0.2">
      <c r="A101" s="5">
        <v>95</v>
      </c>
      <c r="C101" s="2">
        <v>95</v>
      </c>
      <c r="D101" s="2">
        <v>95</v>
      </c>
      <c r="E101" s="8">
        <v>1889</v>
      </c>
      <c r="F101" s="8">
        <v>1956</v>
      </c>
      <c r="G101" s="7" t="s">
        <v>70</v>
      </c>
      <c r="H101" s="2"/>
      <c r="I101" s="23">
        <v>1889</v>
      </c>
      <c r="J101" s="23"/>
      <c r="K101" s="12">
        <v>12940</v>
      </c>
      <c r="L101" s="12">
        <v>25657</v>
      </c>
      <c r="M101" s="12">
        <f t="shared" si="107"/>
        <v>38597</v>
      </c>
      <c r="N101" s="13">
        <f t="shared" si="108"/>
        <v>20.432503970354684</v>
      </c>
      <c r="P101" s="12">
        <v>24254</v>
      </c>
      <c r="Q101" s="11" t="s">
        <v>8</v>
      </c>
      <c r="R101" s="13">
        <f t="shared" si="109"/>
        <v>12.839597670725251</v>
      </c>
      <c r="S101" s="12">
        <f>P101*9.769</f>
        <v>236937.326</v>
      </c>
      <c r="T101" s="13">
        <f t="shared" si="110"/>
        <v>125.43002964531499</v>
      </c>
      <c r="V101" s="13">
        <f t="shared" si="111"/>
        <v>145.86253361566966</v>
      </c>
      <c r="X101" s="34">
        <f t="shared" si="112"/>
        <v>-0.10857712516007889</v>
      </c>
      <c r="Z101" s="11">
        <v>1889</v>
      </c>
      <c r="AB101" s="12">
        <v>10891</v>
      </c>
      <c r="AC101" s="12">
        <v>23187</v>
      </c>
      <c r="AD101" s="12">
        <f t="shared" si="113"/>
        <v>34078</v>
      </c>
      <c r="AE101" s="13">
        <f t="shared" si="114"/>
        <v>18.040232927474854</v>
      </c>
      <c r="AG101" s="12">
        <v>27779</v>
      </c>
      <c r="AH101" s="11" t="s">
        <v>8</v>
      </c>
      <c r="AI101" s="13">
        <f t="shared" si="115"/>
        <v>14.705664372683961</v>
      </c>
      <c r="AJ101" s="12">
        <f>AG101*9.769</f>
        <v>271373.05099999998</v>
      </c>
      <c r="AK101" s="13">
        <f t="shared" si="116"/>
        <v>143.6596352567496</v>
      </c>
      <c r="AM101" s="13">
        <f t="shared" si="117"/>
        <v>161.69986818422444</v>
      </c>
      <c r="AO101" s="34">
        <f t="shared" si="118"/>
        <v>0.37491146985773494</v>
      </c>
      <c r="AQ101" s="11">
        <f>Z101</f>
        <v>1889</v>
      </c>
      <c r="AS101" s="12">
        <f>AB101</f>
        <v>10891</v>
      </c>
      <c r="AT101" s="12">
        <f>AC101</f>
        <v>23187</v>
      </c>
      <c r="AU101" s="12">
        <f>AD101</f>
        <v>34078</v>
      </c>
      <c r="AV101" s="53">
        <f>AU101/AQ101</f>
        <v>18.040232927474854</v>
      </c>
      <c r="AX101" s="12">
        <f>AQ101*AZ101</f>
        <v>16056.5</v>
      </c>
      <c r="AY101" s="11" t="str">
        <f>AH101</f>
        <v>m3</v>
      </c>
      <c r="AZ101" s="59">
        <v>8.5</v>
      </c>
      <c r="BA101" s="12">
        <f>AX101*9.769</f>
        <v>156855.9485</v>
      </c>
      <c r="BB101" s="13">
        <f>BA101/AQ101</f>
        <v>83.036500000000004</v>
      </c>
      <c r="BC101" s="53"/>
      <c r="BD101" s="53">
        <f>AV101+BB101</f>
        <v>101.07673292747486</v>
      </c>
      <c r="BG101" s="10">
        <v>2029</v>
      </c>
      <c r="BH101" s="10">
        <v>2029</v>
      </c>
      <c r="BI101" s="10">
        <v>2029</v>
      </c>
      <c r="BK101" s="5">
        <v>104</v>
      </c>
    </row>
    <row r="102" spans="1:63" x14ac:dyDescent="0.2">
      <c r="A102" s="5">
        <v>96</v>
      </c>
      <c r="C102" s="2">
        <v>96</v>
      </c>
      <c r="D102" s="2">
        <v>96</v>
      </c>
      <c r="E102" s="8">
        <v>2205</v>
      </c>
      <c r="F102" s="8">
        <v>2008</v>
      </c>
      <c r="G102" s="7" t="s">
        <v>71</v>
      </c>
      <c r="H102" s="2"/>
      <c r="I102" s="23">
        <v>2205</v>
      </c>
      <c r="J102" s="23"/>
      <c r="K102" s="12">
        <v>35466</v>
      </c>
      <c r="L102" s="12">
        <v>73013</v>
      </c>
      <c r="M102" s="12">
        <f t="shared" si="107"/>
        <v>108479</v>
      </c>
      <c r="N102" s="13">
        <f t="shared" si="108"/>
        <v>49.196825396825396</v>
      </c>
      <c r="P102" s="29">
        <v>56593</v>
      </c>
      <c r="Q102" s="11" t="s">
        <v>8</v>
      </c>
      <c r="R102" s="13">
        <f t="shared" si="109"/>
        <v>25.665759637188209</v>
      </c>
      <c r="S102" s="12">
        <f>P102*9.769</f>
        <v>552857.01699999999</v>
      </c>
      <c r="T102" s="13">
        <f t="shared" si="110"/>
        <v>250.72880589569161</v>
      </c>
      <c r="V102" s="13">
        <f t="shared" si="111"/>
        <v>299.92563129251698</v>
      </c>
      <c r="X102" s="34">
        <f t="shared" si="112"/>
        <v>0.28914568099199706</v>
      </c>
      <c r="Z102" s="11">
        <v>2205</v>
      </c>
      <c r="AB102" s="12">
        <v>38155</v>
      </c>
      <c r="AC102" s="12">
        <v>74843</v>
      </c>
      <c r="AD102" s="12">
        <f t="shared" si="113"/>
        <v>112998</v>
      </c>
      <c r="AE102" s="13">
        <f t="shared" si="114"/>
        <v>51.246258503401357</v>
      </c>
      <c r="AG102" s="12">
        <f>6680+29876</f>
        <v>36556</v>
      </c>
      <c r="AH102" s="11" t="s">
        <v>8</v>
      </c>
      <c r="AI102" s="13">
        <f t="shared" si="115"/>
        <v>16.578684807256234</v>
      </c>
      <c r="AJ102" s="12">
        <f>AG102*9.769</f>
        <v>357115.56400000001</v>
      </c>
      <c r="AK102" s="13">
        <f t="shared" si="116"/>
        <v>161.95717188208619</v>
      </c>
      <c r="AM102" s="13">
        <f t="shared" si="117"/>
        <v>213.20343038548754</v>
      </c>
      <c r="AO102" s="34">
        <f t="shared" si="118"/>
        <v>1</v>
      </c>
      <c r="AQ102" s="56"/>
      <c r="AR102" s="56"/>
      <c r="AS102" s="51"/>
      <c r="AT102" s="51"/>
      <c r="AU102" s="51"/>
      <c r="AV102" s="57"/>
      <c r="AW102" s="56"/>
      <c r="AX102" s="51"/>
      <c r="AY102" s="56"/>
      <c r="AZ102" s="57"/>
      <c r="BA102" s="51"/>
      <c r="BB102" s="57"/>
      <c r="BC102" s="57"/>
      <c r="BD102" s="57">
        <f>AV102+BB102</f>
        <v>0</v>
      </c>
      <c r="BF102" s="65" t="s">
        <v>75</v>
      </c>
      <c r="BG102" s="5"/>
      <c r="BH102" s="5"/>
      <c r="BI102" s="5"/>
      <c r="BK102" s="5">
        <v>105</v>
      </c>
    </row>
    <row r="103" spans="1:63" x14ac:dyDescent="0.2">
      <c r="A103" s="5">
        <v>97</v>
      </c>
      <c r="C103" s="1">
        <v>97</v>
      </c>
      <c r="D103" s="1">
        <v>97</v>
      </c>
      <c r="E103" s="10">
        <v>1500</v>
      </c>
      <c r="F103" s="8">
        <v>1984</v>
      </c>
      <c r="G103" s="7" t="s">
        <v>70</v>
      </c>
      <c r="H103" s="2"/>
      <c r="I103" s="30">
        <v>1500</v>
      </c>
      <c r="J103" s="23"/>
      <c r="K103" s="12">
        <f>9764+4146</f>
        <v>13910</v>
      </c>
      <c r="L103" s="12">
        <f>27421+8671</f>
        <v>36092</v>
      </c>
      <c r="M103" s="12">
        <f t="shared" si="107"/>
        <v>50002</v>
      </c>
      <c r="N103" s="13">
        <f t="shared" si="108"/>
        <v>33.334666666666664</v>
      </c>
      <c r="P103" s="12">
        <f>11579+20694</f>
        <v>32273</v>
      </c>
      <c r="Q103" s="11" t="s">
        <v>8</v>
      </c>
      <c r="R103" s="13">
        <f t="shared" si="109"/>
        <v>21.515333333333334</v>
      </c>
      <c r="S103" s="12">
        <f>P103*9.769</f>
        <v>315274.93699999998</v>
      </c>
      <c r="T103" s="13">
        <f t="shared" si="110"/>
        <v>210.18329133333333</v>
      </c>
      <c r="V103" s="13">
        <f t="shared" si="111"/>
        <v>243.51795799999999</v>
      </c>
      <c r="X103" s="34">
        <f t="shared" si="112"/>
        <v>0.29975315961434484</v>
      </c>
      <c r="Z103" s="11">
        <v>1500</v>
      </c>
      <c r="AB103" s="12">
        <f>9930+4809</f>
        <v>14739</v>
      </c>
      <c r="AC103" s="12">
        <f>27927+8858</f>
        <v>36785</v>
      </c>
      <c r="AD103" s="12">
        <f t="shared" si="113"/>
        <v>51524</v>
      </c>
      <c r="AE103" s="13">
        <f t="shared" si="114"/>
        <v>34.349333333333334</v>
      </c>
      <c r="AG103" s="12">
        <v>20909</v>
      </c>
      <c r="AH103" s="11" t="s">
        <v>8</v>
      </c>
      <c r="AI103" s="13">
        <f t="shared" si="115"/>
        <v>13.939333333333334</v>
      </c>
      <c r="AJ103" s="12">
        <f>AG103*9.769</f>
        <v>204260.02100000001</v>
      </c>
      <c r="AK103" s="13">
        <f t="shared" si="116"/>
        <v>136.17334733333334</v>
      </c>
      <c r="AM103" s="13">
        <f t="shared" si="117"/>
        <v>170.52268066666667</v>
      </c>
      <c r="AO103" s="34">
        <f t="shared" si="118"/>
        <v>1</v>
      </c>
      <c r="AQ103" s="56"/>
      <c r="AR103" s="56"/>
      <c r="AS103" s="51"/>
      <c r="AT103" s="51"/>
      <c r="AU103" s="51"/>
      <c r="AV103" s="57"/>
      <c r="AW103" s="56"/>
      <c r="AX103" s="51"/>
      <c r="AY103" s="56"/>
      <c r="AZ103" s="57"/>
      <c r="BA103" s="51"/>
      <c r="BB103" s="57"/>
      <c r="BC103" s="57"/>
      <c r="BD103" s="57">
        <f>AV103+BB103</f>
        <v>0</v>
      </c>
      <c r="BF103" s="65" t="s">
        <v>31</v>
      </c>
      <c r="BG103" s="5"/>
      <c r="BH103" s="5"/>
      <c r="BI103" s="5"/>
      <c r="BK103" s="5">
        <v>106</v>
      </c>
    </row>
    <row r="104" spans="1:63" x14ac:dyDescent="0.2">
      <c r="A104" s="5">
        <v>98</v>
      </c>
      <c r="C104" s="2">
        <v>98</v>
      </c>
      <c r="D104" s="2">
        <v>98</v>
      </c>
      <c r="E104" s="8">
        <v>2365</v>
      </c>
      <c r="F104" s="8">
        <v>1984</v>
      </c>
      <c r="G104" s="7" t="s">
        <v>70</v>
      </c>
      <c r="H104" s="2"/>
      <c r="I104" s="23">
        <v>2365</v>
      </c>
      <c r="J104" s="23"/>
      <c r="K104" s="12">
        <v>19424</v>
      </c>
      <c r="L104" s="12">
        <v>46634</v>
      </c>
      <c r="M104" s="12">
        <f t="shared" si="107"/>
        <v>66058</v>
      </c>
      <c r="N104" s="13">
        <f t="shared" si="108"/>
        <v>27.931501057082453</v>
      </c>
      <c r="P104" s="12">
        <v>38003</v>
      </c>
      <c r="Q104" s="11" t="s">
        <v>8</v>
      </c>
      <c r="R104" s="13">
        <f t="shared" si="109"/>
        <v>16.06892177589852</v>
      </c>
      <c r="S104" s="12">
        <f>P104*9.769</f>
        <v>371251.30700000003</v>
      </c>
      <c r="T104" s="13">
        <f t="shared" si="110"/>
        <v>156.97729682875266</v>
      </c>
      <c r="V104" s="13">
        <f t="shared" si="111"/>
        <v>184.9087978858351</v>
      </c>
      <c r="X104" s="34">
        <f t="shared" si="112"/>
        <v>3.1648665551954717E-2</v>
      </c>
      <c r="Z104" s="11">
        <v>2365</v>
      </c>
      <c r="AB104" s="12">
        <v>17835</v>
      </c>
      <c r="AC104" s="12">
        <v>46340</v>
      </c>
      <c r="AD104" s="12">
        <f t="shared" si="113"/>
        <v>64175</v>
      </c>
      <c r="AE104" s="13">
        <f t="shared" si="114"/>
        <v>27.135306553911207</v>
      </c>
      <c r="AG104" s="12">
        <v>36779</v>
      </c>
      <c r="AH104" s="11" t="s">
        <v>8</v>
      </c>
      <c r="AI104" s="13">
        <f t="shared" si="115"/>
        <v>15.551374207188161</v>
      </c>
      <c r="AJ104" s="12">
        <f>AG104*9.769</f>
        <v>359294.05099999998</v>
      </c>
      <c r="AK104" s="13">
        <f t="shared" si="116"/>
        <v>151.92137463002112</v>
      </c>
      <c r="AM104" s="13">
        <f t="shared" si="117"/>
        <v>179.05668118393231</v>
      </c>
      <c r="AO104" s="34">
        <f t="shared" si="118"/>
        <v>1</v>
      </c>
      <c r="AQ104" s="56"/>
      <c r="AR104" s="56"/>
      <c r="AS104" s="51"/>
      <c r="AT104" s="51"/>
      <c r="AU104" s="51"/>
      <c r="AV104" s="57"/>
      <c r="AW104" s="56"/>
      <c r="AX104" s="51"/>
      <c r="AY104" s="56"/>
      <c r="AZ104" s="57"/>
      <c r="BA104" s="51"/>
      <c r="BB104" s="57"/>
      <c r="BC104" s="57"/>
      <c r="BD104" s="57"/>
      <c r="BF104" s="65" t="s">
        <v>59</v>
      </c>
      <c r="BG104" s="5"/>
      <c r="BH104" s="5"/>
      <c r="BI104" s="5"/>
      <c r="BK104" s="5">
        <v>107</v>
      </c>
    </row>
    <row r="105" spans="1:63" x14ac:dyDescent="0.2">
      <c r="A105" s="5">
        <v>99</v>
      </c>
      <c r="C105" s="2">
        <v>99</v>
      </c>
      <c r="D105" s="2">
        <v>99</v>
      </c>
      <c r="E105" s="8">
        <v>1576</v>
      </c>
      <c r="F105" s="8">
        <v>1985</v>
      </c>
      <c r="G105" s="7" t="s">
        <v>70</v>
      </c>
      <c r="H105" s="2"/>
      <c r="I105" s="23">
        <v>1576</v>
      </c>
      <c r="J105" s="23"/>
      <c r="K105" s="12">
        <v>15480</v>
      </c>
      <c r="L105" s="12">
        <v>32062</v>
      </c>
      <c r="M105" s="12">
        <f>K105+L105</f>
        <v>47542</v>
      </c>
      <c r="N105" s="13">
        <f>M105/I105</f>
        <v>30.166243654822335</v>
      </c>
      <c r="P105" s="12">
        <v>474.62</v>
      </c>
      <c r="Q105" s="11" t="s">
        <v>17</v>
      </c>
      <c r="R105" s="24">
        <f>P105/I105</f>
        <v>0.30115482233502539</v>
      </c>
      <c r="S105" s="12">
        <f>P105*277.78</f>
        <v>131839.9436</v>
      </c>
      <c r="T105" s="13">
        <f>S105/I105</f>
        <v>83.654786548223356</v>
      </c>
      <c r="V105" s="13">
        <f>N105+T105</f>
        <v>113.82103020304569</v>
      </c>
      <c r="X105" s="34">
        <f>(V105-AM105)/V105</f>
        <v>-0.15690506990359068</v>
      </c>
      <c r="Z105" s="11">
        <v>1576</v>
      </c>
      <c r="AB105" s="12">
        <v>14061</v>
      </c>
      <c r="AC105" s="12">
        <v>27910</v>
      </c>
      <c r="AD105" s="12">
        <f>AB105+AC105</f>
        <v>41971</v>
      </c>
      <c r="AE105" s="13">
        <f>AD105/Z105</f>
        <v>26.631345177664976</v>
      </c>
      <c r="AG105" s="12">
        <v>596</v>
      </c>
      <c r="AH105" s="11" t="s">
        <v>17</v>
      </c>
      <c r="AI105" s="24">
        <f>AG105/Z105</f>
        <v>0.37817258883248733</v>
      </c>
      <c r="AJ105" s="12">
        <f>AG105*277.78</f>
        <v>165556.87999999998</v>
      </c>
      <c r="AK105" s="13">
        <f>AJ105/Z105</f>
        <v>105.0487817258883</v>
      </c>
      <c r="AM105" s="13">
        <f>AE105+AK105</f>
        <v>131.68012690355329</v>
      </c>
      <c r="AO105" s="34">
        <f>(AM105-BD105)/AM105</f>
        <v>0</v>
      </c>
      <c r="AQ105" s="11">
        <f>Z105</f>
        <v>1576</v>
      </c>
      <c r="AS105" s="12">
        <f t="shared" ref="AS105:AT106" si="121">AB105</f>
        <v>14061</v>
      </c>
      <c r="AT105" s="12">
        <f t="shared" si="121"/>
        <v>27910</v>
      </c>
      <c r="AU105" s="12">
        <f>AD105</f>
        <v>41971</v>
      </c>
      <c r="AV105" s="53">
        <f>AU105/AQ105</f>
        <v>26.631345177664976</v>
      </c>
      <c r="AX105" s="12">
        <f>AG105</f>
        <v>596</v>
      </c>
      <c r="AY105" s="11" t="str">
        <f t="shared" ref="AY105:BB106" si="122">AH105</f>
        <v>GJ</v>
      </c>
      <c r="AZ105" s="62">
        <f t="shared" si="122"/>
        <v>0.37817258883248733</v>
      </c>
      <c r="BA105" s="12">
        <f t="shared" si="122"/>
        <v>165556.87999999998</v>
      </c>
      <c r="BB105" s="53">
        <f t="shared" si="122"/>
        <v>105.0487817258883</v>
      </c>
      <c r="BC105" s="53"/>
      <c r="BD105" s="53">
        <f>AV105+BB105</f>
        <v>131.68012690355329</v>
      </c>
      <c r="BG105" s="5"/>
      <c r="BH105" s="5"/>
      <c r="BI105" s="5"/>
      <c r="BK105" s="5">
        <v>111</v>
      </c>
    </row>
    <row r="106" spans="1:63" x14ac:dyDescent="0.2">
      <c r="A106" s="5">
        <v>100</v>
      </c>
      <c r="C106" s="1">
        <v>100</v>
      </c>
      <c r="D106" s="1">
        <v>100</v>
      </c>
      <c r="E106" s="8">
        <v>1997</v>
      </c>
      <c r="F106" s="8">
        <v>1997</v>
      </c>
      <c r="G106" s="7" t="s">
        <v>70</v>
      </c>
      <c r="H106" s="2"/>
      <c r="I106" s="23">
        <v>1997</v>
      </c>
      <c r="J106" s="23"/>
      <c r="K106" s="12">
        <v>10396</v>
      </c>
      <c r="L106" s="12">
        <v>33646</v>
      </c>
      <c r="M106" s="12">
        <f>K106+L106</f>
        <v>44042</v>
      </c>
      <c r="N106" s="13">
        <f>M106/I106</f>
        <v>22.054081121682525</v>
      </c>
      <c r="P106" s="12">
        <v>355.93</v>
      </c>
      <c r="Q106" s="11" t="s">
        <v>17</v>
      </c>
      <c r="R106" s="24">
        <f>P106/I106</f>
        <v>0.17823234852278419</v>
      </c>
      <c r="S106" s="12">
        <f>P106*277.78</f>
        <v>98870.23539999999</v>
      </c>
      <c r="T106" s="13">
        <f>S106/I106</f>
        <v>49.509381772658983</v>
      </c>
      <c r="V106" s="13">
        <f>N106+T106</f>
        <v>71.563462894341512</v>
      </c>
      <c r="X106" s="34">
        <f>(V106-AM106)/V106</f>
        <v>-1.5893422936410096E-2</v>
      </c>
      <c r="Z106" s="11">
        <v>1997</v>
      </c>
      <c r="AB106" s="12">
        <v>9159</v>
      </c>
      <c r="AC106" s="12">
        <v>33246</v>
      </c>
      <c r="AD106" s="12">
        <f>AB106+AC106</f>
        <v>42405</v>
      </c>
      <c r="AE106" s="13">
        <f>AD106/Z106</f>
        <v>21.234351527290936</v>
      </c>
      <c r="AG106" s="12">
        <v>370</v>
      </c>
      <c r="AH106" s="11" t="s">
        <v>17</v>
      </c>
      <c r="AI106" s="24">
        <f>AG106/Z106</f>
        <v>0.18527791687531298</v>
      </c>
      <c r="AJ106" s="12">
        <f>AG106*277.78</f>
        <v>102778.59999999999</v>
      </c>
      <c r="AK106" s="13">
        <f>AJ106/Z106</f>
        <v>51.466499749624433</v>
      </c>
      <c r="AM106" s="13">
        <f>AE106+AK106</f>
        <v>72.700851276915373</v>
      </c>
      <c r="AO106" s="34">
        <f>(AM106-BD106)/AM106</f>
        <v>0</v>
      </c>
      <c r="AQ106" s="11">
        <f>Z106</f>
        <v>1997</v>
      </c>
      <c r="AS106" s="12">
        <f t="shared" si="121"/>
        <v>9159</v>
      </c>
      <c r="AT106" s="12">
        <f t="shared" si="121"/>
        <v>33246</v>
      </c>
      <c r="AU106" s="12">
        <f>AD106</f>
        <v>42405</v>
      </c>
      <c r="AV106" s="53">
        <f>AU106/AQ106</f>
        <v>21.234351527290936</v>
      </c>
      <c r="AX106" s="12">
        <f>AG106</f>
        <v>370</v>
      </c>
      <c r="AY106" s="11" t="str">
        <f t="shared" si="122"/>
        <v>GJ</v>
      </c>
      <c r="AZ106" s="62">
        <f t="shared" si="122"/>
        <v>0.18527791687531298</v>
      </c>
      <c r="BA106" s="12">
        <f t="shared" si="122"/>
        <v>102778.59999999999</v>
      </c>
      <c r="BB106" s="53">
        <f t="shared" si="122"/>
        <v>51.466499749624433</v>
      </c>
      <c r="BC106" s="53"/>
      <c r="BD106" s="53">
        <f>AV106+BB106</f>
        <v>72.700851276915373</v>
      </c>
      <c r="BG106" s="5"/>
      <c r="BH106" s="5"/>
      <c r="BI106" s="5"/>
      <c r="BK106" s="5">
        <v>112</v>
      </c>
    </row>
    <row r="107" spans="1:63" x14ac:dyDescent="0.2">
      <c r="A107" s="5">
        <v>101</v>
      </c>
      <c r="C107" s="2">
        <v>101</v>
      </c>
      <c r="D107" s="2">
        <v>101</v>
      </c>
      <c r="E107" s="8">
        <v>1719</v>
      </c>
      <c r="F107" s="8">
        <v>1960</v>
      </c>
      <c r="G107" s="7" t="s">
        <v>70</v>
      </c>
      <c r="H107" s="2"/>
      <c r="I107" s="23">
        <v>1719</v>
      </c>
      <c r="J107" s="23"/>
      <c r="K107" s="12">
        <v>10296</v>
      </c>
      <c r="L107" s="12">
        <v>18681</v>
      </c>
      <c r="M107" s="12">
        <f>K107+L107</f>
        <v>28977</v>
      </c>
      <c r="N107" s="13">
        <f>M107/I107</f>
        <v>16.856893542757415</v>
      </c>
      <c r="P107" s="12">
        <v>15927</v>
      </c>
      <c r="Q107" s="11" t="s">
        <v>8</v>
      </c>
      <c r="R107" s="13">
        <f>P107/I107</f>
        <v>9.2652705061082017</v>
      </c>
      <c r="S107" s="12">
        <f>P107*9.769</f>
        <v>155590.86300000001</v>
      </c>
      <c r="T107" s="13">
        <f>S107/I107</f>
        <v>90.512427574171042</v>
      </c>
      <c r="V107" s="13">
        <f>N107+T107</f>
        <v>107.36932111692846</v>
      </c>
      <c r="X107" s="34">
        <f>(V107-AM107)/V107</f>
        <v>-0.13882765170228986</v>
      </c>
      <c r="Z107" s="11">
        <v>1719</v>
      </c>
      <c r="AB107" s="12">
        <v>9901</v>
      </c>
      <c r="AC107" s="12">
        <v>20599</v>
      </c>
      <c r="AD107" s="12">
        <f>AB107+AC107</f>
        <v>30500</v>
      </c>
      <c r="AE107" s="13">
        <f>AD107/Z107</f>
        <v>17.742873763816171</v>
      </c>
      <c r="AG107" s="12">
        <v>18394</v>
      </c>
      <c r="AH107" s="11" t="s">
        <v>8</v>
      </c>
      <c r="AI107" s="13">
        <f>AG107/Z107</f>
        <v>10.700407213496218</v>
      </c>
      <c r="AJ107" s="12">
        <f>AG107*9.769</f>
        <v>179690.986</v>
      </c>
      <c r="AK107" s="13">
        <f>AJ107/Z107</f>
        <v>104.53227806864456</v>
      </c>
      <c r="AM107" s="13">
        <f>AE107+AK107</f>
        <v>122.27515183246072</v>
      </c>
      <c r="AO107" s="34">
        <f>(AM107-BD107)/AM107</f>
        <v>1</v>
      </c>
      <c r="AQ107" s="56"/>
      <c r="AR107" s="56"/>
      <c r="AS107" s="51"/>
      <c r="AT107" s="51"/>
      <c r="AU107" s="51"/>
      <c r="AV107" s="57"/>
      <c r="AW107" s="56"/>
      <c r="AX107" s="51"/>
      <c r="AY107" s="56"/>
      <c r="AZ107" s="57"/>
      <c r="BA107" s="51"/>
      <c r="BB107" s="57"/>
      <c r="BC107" s="57"/>
      <c r="BD107" s="57"/>
      <c r="BF107" s="65" t="s">
        <v>60</v>
      </c>
      <c r="BG107" s="5"/>
      <c r="BH107" s="5"/>
      <c r="BI107" s="5"/>
      <c r="BK107" s="5">
        <v>113</v>
      </c>
    </row>
    <row r="108" spans="1:63" x14ac:dyDescent="0.2">
      <c r="A108" s="5">
        <v>102</v>
      </c>
      <c r="C108" s="2">
        <v>102</v>
      </c>
      <c r="D108" s="2">
        <v>102</v>
      </c>
      <c r="E108" s="9">
        <v>2650</v>
      </c>
      <c r="F108" s="9">
        <v>1928</v>
      </c>
      <c r="G108" s="7" t="s">
        <v>70</v>
      </c>
      <c r="H108" s="3"/>
      <c r="I108" s="25">
        <v>2650</v>
      </c>
      <c r="J108" s="25"/>
      <c r="K108" s="12">
        <v>22237</v>
      </c>
      <c r="L108" s="12">
        <v>58553</v>
      </c>
      <c r="M108" s="12">
        <f>K108+L108</f>
        <v>80790</v>
      </c>
      <c r="N108" s="13">
        <f>M108/I108</f>
        <v>30.486792452830187</v>
      </c>
      <c r="P108" s="12">
        <v>36504</v>
      </c>
      <c r="Q108" s="11" t="s">
        <v>8</v>
      </c>
      <c r="R108" s="13">
        <f>P108/I108</f>
        <v>13.775094339622642</v>
      </c>
      <c r="S108" s="12">
        <f>P108*9.769</f>
        <v>356607.576</v>
      </c>
      <c r="T108" s="13">
        <f>S108/I108</f>
        <v>134.5688966037736</v>
      </c>
      <c r="V108" s="13">
        <f>N108+T108</f>
        <v>165.0556890566038</v>
      </c>
      <c r="X108" s="34">
        <f>(V108-AM108)/V108</f>
        <v>-9.3579153717120625E-2</v>
      </c>
      <c r="Z108" s="11">
        <v>2650</v>
      </c>
      <c r="AB108" s="12">
        <v>24614</v>
      </c>
      <c r="AC108" s="12">
        <v>57494</v>
      </c>
      <c r="AD108" s="12">
        <f>AB108+AC108</f>
        <v>82108</v>
      </c>
      <c r="AE108" s="13">
        <f>AD108/Z108</f>
        <v>30.984150943396227</v>
      </c>
      <c r="AG108" s="12">
        <v>40559</v>
      </c>
      <c r="AH108" s="11" t="s">
        <v>8</v>
      </c>
      <c r="AI108" s="13">
        <f>AG108/Z108</f>
        <v>15.305283018867925</v>
      </c>
      <c r="AJ108" s="12">
        <f>AG108*9.769</f>
        <v>396220.87099999998</v>
      </c>
      <c r="AK108" s="13">
        <f>AJ108/Z108</f>
        <v>149.51730981132076</v>
      </c>
      <c r="AM108" s="13">
        <f>AE108+AK108</f>
        <v>180.50146075471699</v>
      </c>
      <c r="AO108" s="34">
        <f>(AM108-BD108)/AM108</f>
        <v>0.36831175511461023</v>
      </c>
      <c r="AQ108" s="11">
        <f>Z108</f>
        <v>2650</v>
      </c>
      <c r="AS108" s="12">
        <f>AB108</f>
        <v>24614</v>
      </c>
      <c r="AT108" s="12">
        <f>AC108</f>
        <v>57494</v>
      </c>
      <c r="AU108" s="12">
        <f>AD108</f>
        <v>82108</v>
      </c>
      <c r="AV108" s="53">
        <f>AU108/AQ108</f>
        <v>30.984150943396227</v>
      </c>
      <c r="AX108" s="12">
        <f>AQ108*AZ108</f>
        <v>22525</v>
      </c>
      <c r="AY108" s="11" t="str">
        <f>AH108</f>
        <v>m3</v>
      </c>
      <c r="AZ108" s="59">
        <v>8.5</v>
      </c>
      <c r="BA108" s="12">
        <f>AX108*9.769</f>
        <v>220046.72500000001</v>
      </c>
      <c r="BB108" s="13">
        <f>BA108/AQ108</f>
        <v>83.036500000000004</v>
      </c>
      <c r="BC108" s="53"/>
      <c r="BD108" s="53">
        <f>AV108+BB108</f>
        <v>114.02065094339623</v>
      </c>
      <c r="BG108" s="10">
        <v>2029</v>
      </c>
      <c r="BH108" s="10">
        <v>2029</v>
      </c>
      <c r="BI108" s="10">
        <v>2029</v>
      </c>
      <c r="BK108" s="5">
        <v>114</v>
      </c>
    </row>
    <row r="109" spans="1:63" x14ac:dyDescent="0.2">
      <c r="C109" s="5" t="s">
        <v>45</v>
      </c>
      <c r="D109" s="5" t="s">
        <v>46</v>
      </c>
      <c r="BG109" s="5"/>
      <c r="BH109" s="5"/>
      <c r="BI109" s="5"/>
      <c r="BK109" s="5">
        <v>115</v>
      </c>
    </row>
    <row r="110" spans="1:63" x14ac:dyDescent="0.2">
      <c r="I110" s="61"/>
      <c r="J110" s="61"/>
      <c r="K110" s="71"/>
      <c r="L110" s="71"/>
      <c r="M110" s="71"/>
      <c r="N110" s="72"/>
      <c r="O110" s="61"/>
      <c r="P110" s="71"/>
      <c r="Q110" s="61"/>
      <c r="R110" s="72"/>
      <c r="S110" s="71"/>
      <c r="T110" s="72"/>
      <c r="U110" s="61"/>
      <c r="V110" s="72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G110" s="5"/>
      <c r="BH110" s="5"/>
      <c r="BI110" s="5"/>
    </row>
  </sheetData>
  <autoFilter ref="A6:CJ110" xr:uid="{7C98FA64-5026-4D08-AD06-DC72344DF4E4}">
    <sortState xmlns:xlrd2="http://schemas.microsoft.com/office/spreadsheetml/2017/richdata2" ref="A7:CI110">
      <sortCondition ref="A6:A110"/>
    </sortState>
  </autoFilter>
  <mergeCells count="6">
    <mergeCell ref="AX4:BB4"/>
    <mergeCell ref="AS4:AV4"/>
    <mergeCell ref="K1:N1"/>
    <mergeCell ref="P1:T1"/>
    <mergeCell ref="AB4:AE4"/>
    <mergeCell ref="AG4:AK4"/>
  </mergeCells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2017-2018 &amp;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</dc:creator>
  <cp:lastModifiedBy>Remco</cp:lastModifiedBy>
  <dcterms:created xsi:type="dcterms:W3CDTF">2017-09-09T08:52:51Z</dcterms:created>
  <dcterms:modified xsi:type="dcterms:W3CDTF">2019-04-04T11:34:16Z</dcterms:modified>
</cp:coreProperties>
</file>